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amówienia 2020\68 pas dobudowa\Załącznik nr 1 - DOKUMENTACJA PROJEKTOWA\"/>
    </mc:Choice>
  </mc:AlternateContent>
  <bookViews>
    <workbookView xWindow="0" yWindow="0" windowWidth="28800" windowHeight="12585" tabRatio="500"/>
  </bookViews>
  <sheets>
    <sheet name="KO II ETAP_ofertowy" sheetId="1" r:id="rId1"/>
    <sheet name="Arkusz1" sheetId="2" r:id="rId2"/>
  </sheets>
  <definedNames>
    <definedName name="_xlnm.Print_Area" localSheetId="0">'KO II ETAP_ofertowy'!$H$133:$H$133</definedName>
  </definedNames>
  <calcPr calcId="152511" iterate="1" concurrentCalc="0"/>
</workbook>
</file>

<file path=xl/calcChain.xml><?xml version="1.0" encoding="utf-8"?>
<calcChain xmlns="http://schemas.openxmlformats.org/spreadsheetml/2006/main">
  <c r="H12" i="1" l="1"/>
  <c r="H7" i="1"/>
  <c r="H9" i="1"/>
  <c r="F10" i="1"/>
  <c r="H10" i="1"/>
  <c r="H11" i="1"/>
  <c r="F15" i="1"/>
  <c r="F14" i="1"/>
  <c r="H14" i="1"/>
  <c r="H15" i="1"/>
  <c r="F19" i="1"/>
  <c r="F18" i="1"/>
  <c r="H18" i="1"/>
  <c r="H19" i="1"/>
  <c r="H20" i="1"/>
  <c r="F21" i="1"/>
  <c r="H21" i="1"/>
  <c r="F22" i="1"/>
  <c r="H22" i="1"/>
  <c r="F24" i="1"/>
  <c r="H24" i="1"/>
  <c r="H29" i="1"/>
  <c r="F40" i="1"/>
  <c r="F32" i="1"/>
  <c r="H32" i="1"/>
  <c r="F37" i="1"/>
  <c r="F38" i="1"/>
  <c r="F39" i="1"/>
  <c r="F30" i="1"/>
  <c r="H30" i="1"/>
  <c r="H37" i="1"/>
  <c r="F33" i="1"/>
  <c r="H38" i="1"/>
  <c r="H39" i="1"/>
  <c r="H40" i="1"/>
  <c r="F41" i="1"/>
  <c r="H41" i="1"/>
  <c r="H42" i="1"/>
  <c r="H43" i="1"/>
  <c r="H44" i="1"/>
  <c r="H45" i="1"/>
  <c r="F46" i="1"/>
  <c r="H46" i="1"/>
  <c r="H47" i="1"/>
  <c r="H48" i="1"/>
  <c r="H49" i="1"/>
  <c r="H50" i="1"/>
  <c r="H51" i="1"/>
  <c r="H52" i="1"/>
  <c r="H53" i="1"/>
  <c r="H54" i="1"/>
  <c r="F56" i="1"/>
  <c r="H56" i="1"/>
  <c r="F57" i="1"/>
  <c r="H57" i="1"/>
  <c r="H58" i="1"/>
  <c r="H59" i="1"/>
  <c r="H60" i="1"/>
  <c r="H61" i="1"/>
  <c r="F62" i="1"/>
  <c r="H62" i="1"/>
  <c r="F63" i="1"/>
  <c r="H63" i="1"/>
  <c r="F64" i="1"/>
  <c r="H64" i="1"/>
  <c r="F65" i="1"/>
  <c r="F71" i="1"/>
  <c r="H71" i="1"/>
  <c r="H65" i="1"/>
  <c r="F66" i="1"/>
  <c r="H66" i="1"/>
  <c r="F67" i="1"/>
  <c r="H67" i="1"/>
  <c r="F68" i="1"/>
  <c r="H68" i="1"/>
  <c r="F69" i="1"/>
  <c r="H69" i="1"/>
  <c r="F70" i="1"/>
  <c r="H70" i="1"/>
  <c r="F72" i="1"/>
  <c r="H72" i="1"/>
  <c r="F73" i="1"/>
  <c r="H73" i="1"/>
  <c r="F74" i="1"/>
  <c r="H74" i="1"/>
  <c r="F75" i="1"/>
  <c r="H75" i="1"/>
  <c r="F76" i="1"/>
  <c r="H76" i="1"/>
  <c r="F77" i="1"/>
  <c r="H77" i="1"/>
  <c r="F78" i="1"/>
  <c r="H78" i="1"/>
  <c r="F79" i="1"/>
  <c r="H79" i="1"/>
  <c r="F80" i="1"/>
  <c r="H80" i="1"/>
  <c r="F81" i="1"/>
  <c r="H81" i="1"/>
  <c r="F82" i="1"/>
  <c r="H82" i="1"/>
  <c r="F83" i="1"/>
  <c r="H83" i="1"/>
  <c r="F84" i="1"/>
  <c r="H84" i="1"/>
  <c r="F85" i="1"/>
  <c r="H85" i="1"/>
  <c r="H86" i="1"/>
  <c r="H87" i="1"/>
  <c r="H88" i="1"/>
  <c r="H89" i="1"/>
  <c r="F90" i="1"/>
  <c r="H90" i="1"/>
  <c r="H91" i="1"/>
  <c r="H94" i="1"/>
  <c r="H95" i="1"/>
  <c r="H96" i="1"/>
  <c r="F97" i="1"/>
  <c r="H97" i="1"/>
  <c r="F98" i="1"/>
  <c r="F110" i="1"/>
  <c r="H110" i="1"/>
  <c r="H98" i="1"/>
  <c r="F99" i="1"/>
  <c r="H99" i="1"/>
  <c r="F100" i="1"/>
  <c r="H100" i="1"/>
  <c r="H101" i="1"/>
  <c r="H102" i="1"/>
  <c r="H104" i="1"/>
  <c r="F105" i="1"/>
  <c r="H105" i="1"/>
  <c r="H106" i="1"/>
  <c r="F108" i="1"/>
  <c r="F107" i="1"/>
  <c r="H107" i="1"/>
  <c r="H108" i="1"/>
  <c r="H33" i="1"/>
  <c r="F34" i="1"/>
  <c r="F31" i="1"/>
  <c r="H31" i="1"/>
  <c r="F26" i="1"/>
  <c r="H26" i="1"/>
  <c r="F16" i="1"/>
  <c r="F109" i="1"/>
  <c r="H109" i="1"/>
  <c r="H16" i="1"/>
  <c r="F17" i="1"/>
  <c r="H17" i="1"/>
  <c r="F35" i="1"/>
  <c r="H35" i="1"/>
  <c r="H34" i="1"/>
  <c r="H111" i="1"/>
  <c r="H113" i="1"/>
  <c r="H112" i="1"/>
</calcChain>
</file>

<file path=xl/sharedStrings.xml><?xml version="1.0" encoding="utf-8"?>
<sst xmlns="http://schemas.openxmlformats.org/spreadsheetml/2006/main" count="334" uniqueCount="201">
  <si>
    <t>Nr pozycji</t>
  </si>
  <si>
    <t>Podstawa wyceny</t>
  </si>
  <si>
    <t>Wyszczególnienie elementu rozliczeniowego. Opis robót</t>
  </si>
  <si>
    <t>J.m.</t>
  </si>
  <si>
    <t>Ilość</t>
  </si>
  <si>
    <t>Cena jednostkowa</t>
  </si>
  <si>
    <t>Wartość robót  (fxg)</t>
  </si>
  <si>
    <t>c</t>
  </si>
  <si>
    <t>d</t>
  </si>
  <si>
    <t>e</t>
  </si>
  <si>
    <t>f</t>
  </si>
  <si>
    <t>g</t>
  </si>
  <si>
    <t>BRANŻA DROGOWA</t>
  </si>
  <si>
    <t>ROBOTY PRZYGOTOWAWCZE</t>
  </si>
  <si>
    <t>KNR 2-01 0119-03</t>
  </si>
  <si>
    <t>km</t>
  </si>
  <si>
    <t>ROBOTY ZIEMNE</t>
  </si>
  <si>
    <t xml:space="preserve">KNNR 1 0113-01           </t>
  </si>
  <si>
    <t>m2</t>
  </si>
  <si>
    <t>KNNR 1 0205-01</t>
  </si>
  <si>
    <t>m3</t>
  </si>
  <si>
    <t>KNNR 1 0209-01</t>
  </si>
  <si>
    <t>KNR 2-01 0235-02</t>
  </si>
  <si>
    <t>NAWIERZCHNIA DROGI KOŁOWANIA ALPHA</t>
  </si>
  <si>
    <t>KNNR 6 0103-03</t>
  </si>
  <si>
    <t xml:space="preserve">Profilowanie i zagęszczanie podłoża wykonywane mechanicznie w gruncie kat. II-IV pod warstwy konstrukcyjne nawierzchni </t>
  </si>
  <si>
    <t>KNNR 6 0111-01</t>
  </si>
  <si>
    <t>Wzmocnienie podłoża z gruntu stabilizowanego spoiwem hydraulicznym warstwa o grubości po zagęszczeniu 24 cm</t>
  </si>
  <si>
    <t>KNNR 6 0104-04</t>
  </si>
  <si>
    <t>Warstwa mrozoochronna z mieszanki niezwiązanej lub gruntu niewysadzinowego o CBR&gt;=25%; pełniąca funkcję warstwy odsączającej o k10&gt;=8 m/dobę; E2&gt;=100MPa (na górze warstwy) o grubości po zagęszczeniu 22 cm - km 0+112 ÷ 0+230</t>
  </si>
  <si>
    <t>KNNR 6 0113-02</t>
  </si>
  <si>
    <t xml:space="preserve">Warstwa podbudowy zasadniczej z mieszanki niezwiązanej z kruszywem 0/31,5mm C90/3 o grubości po zagęszczeniu 20 cm </t>
  </si>
  <si>
    <t>KNNR 6 1005-07</t>
  </si>
  <si>
    <t>Skropienie asfaltem nawierzchni drogowych</t>
  </si>
  <si>
    <t>KNNR 6 0308-02</t>
  </si>
  <si>
    <t xml:space="preserve">Nawierzchnie z mieszanek mineralno-bitumicznych asfaltowych o grubości 5 cm (warstwa wiążąca) AC16W 50/70  </t>
  </si>
  <si>
    <t>KNNR 6 1005-06</t>
  </si>
  <si>
    <t xml:space="preserve">Oczyszczenie mechaniczne nawierzchni drogowych bitumicznych </t>
  </si>
  <si>
    <t xml:space="preserve">Skropienie asfaltem nawierzchni drogowych   </t>
  </si>
  <si>
    <t>KNNR 6 0309-02</t>
  </si>
  <si>
    <t xml:space="preserve">Nawierzchnie z mieszanek mineralno-bitumicznych asfaltowych o grubości po zagęszczeniu 5 cm (warstwa ścieralna) AC 11S 50/70 </t>
  </si>
  <si>
    <t>STAŁA ORGANIZACJA RUCHU</t>
  </si>
  <si>
    <t>KNNR 6 0705-03 analogia</t>
  </si>
  <si>
    <t>HUMUSOWANIE</t>
  </si>
  <si>
    <t>KNR 2-01 0510-01</t>
  </si>
  <si>
    <t>Humusowanie skarp z obsianiem przy grubości warstwy humusu 10 cm ziemia pozyskana z robót przygotowawczych</t>
  </si>
  <si>
    <t>SIEC KALNALIZACJI DESZCZOWEJ</t>
  </si>
  <si>
    <t xml:space="preserve">ROZBOTY ZIEMNE </t>
  </si>
  <si>
    <t>KNR AT-11 0107-01</t>
  </si>
  <si>
    <t xml:space="preserve">Ręczne roboty ziemne w wykopach liniowych o szer. do 1,0 m w gruncie kat. I-II  w umocnieniu typu box </t>
  </si>
  <si>
    <t>KNR AT-11 0104-02</t>
  </si>
  <si>
    <t>Wykopy liniowe o gł. do 2,4 m o szer. do 1,0 m w gruncie kat. III w umocnieniu typu box - koparka 0,60 m3</t>
  </si>
  <si>
    <t>KNR AT-11 0112-04</t>
  </si>
  <si>
    <t xml:space="preserve">Ręczne zasypywanie wykopów liniowych w umocnieniu klatkowym w gruncie kat. I-II, szerokość wykopu 1,0-1,5 m, głębokość do 2,8 m - podsypka 15 cm + obsypka Dz+zasypka piaskowa 30 cm </t>
  </si>
  <si>
    <t>Ręczne zasypywanie wykopów liniowych w umocnieniu klatkowym w gruncie kat. I-II, szerokość wykopu 1,0-1,5 m, głębokość do 2,8 m - Obsypka rury drenarskiej żwirem o średnicy ziaren wynoszącej około 16-31,5 mm, tworzącym otulinę - Drenaż</t>
  </si>
  <si>
    <t>KNR AT-11 0109-04 
9901-02</t>
  </si>
  <si>
    <t>Mechaniczne zasypywanie wykopów liniowych o gł. do 2,8 m, szer. do 1,0-1,5 m w gruncie kat. I-II w umocnieniu klatkowym koparka 0,75 m3 - zasypka piaskiem pod jezdniami i chodnikami</t>
  </si>
  <si>
    <t>KNR AT-11 0108-01
analogia</t>
  </si>
  <si>
    <t>Nakłady uzupełniające z tytułu transportu piasku i żwiru - przewóz na odl. do 1 km po terenie lub drogach gruntowych; koparka 0,60 m3, grunt kat I-II</t>
  </si>
  <si>
    <t>KNR AT-11 0108-04
analogia</t>
  </si>
  <si>
    <t xml:space="preserve">Nakłady uzupełniające z tytułu transportu piasku i żwiru - dodatek za każde rozpoczęte 0,5 km odl. transportu ponad 1 km po terenie lub drogach gruntowych; grunt kat I-II; łącznie na odl.3 km      </t>
  </si>
  <si>
    <t>ROBOTY INSTALACYJNE</t>
  </si>
  <si>
    <t>KNR-W 2-18 0408-05</t>
  </si>
  <si>
    <t>Rury do kanalizacji deszczowej z polipropylenu PP karbowane (SN 8) kielichowe dn 200 mm - wykopy umocnione</t>
  </si>
  <si>
    <t>m</t>
  </si>
  <si>
    <t xml:space="preserve">Rury do kanalizacji deszczowej z polipropylenu PP karbowane (SN 8) kielichowe dn 300 mm - wykopy umocnione </t>
  </si>
  <si>
    <t xml:space="preserve">KNR-W 2-18 0408-06 
</t>
  </si>
  <si>
    <t>Rury do kanalizacji deszczowej z polipropylenu PP karbowane (SN 8) kielichowe dn 400 mm - wykopy umocnione</t>
  </si>
  <si>
    <t>KNR-W 2-01 0610-04</t>
  </si>
  <si>
    <t>Drenaż rurowy jednorzędowy w uprzednio przygotowanej obsypce w wykopie suchym. Rury drenarskie PVC-U DN110 SN5 o średnicy DW 113mm z otworami 1,5 x 5,0 mm owinięte włóknem kokosowym - drenaż</t>
  </si>
  <si>
    <t>KNR 2-31 0606-01</t>
  </si>
  <si>
    <t>Odwodnienie liniowe z rusztem żeliwnym szczelinowym o szerokości 199 mm i klasie obciążenia D400 osadzone na korycie betonowym Studzienka systemowa z odpływem DN 150 mm</t>
  </si>
  <si>
    <t>KNR-W 2-18 0513-03</t>
  </si>
  <si>
    <t>Studzienka rewizyjna  DN 1200 mm  z kręgów betonowych łączonych na uszczelkę z dnem szczelnym. Wykonana jako osadnikowa. Na studni zamontowany wpust ściekowy uliczny z pełnym kołnierzem żeliwnym z zawiasami i ryglem kl. D400 wg PN-EN124 - o głębokości 3m w gotowym wykopie</t>
  </si>
  <si>
    <t>stud.</t>
  </si>
  <si>
    <t>KNR-W 2-18 0513-04</t>
  </si>
  <si>
    <t xml:space="preserve">Studnie rewizyjne z kręgów betonowych o śr. 1200 mm w gotowym wykopie za każde 0.5 m różnicy głębokości </t>
  </si>
  <si>
    <t>[0.5 m] stud.</t>
  </si>
  <si>
    <t>KNR-W 2-18 0513-05</t>
  </si>
  <si>
    <t>Studzienka rewizyjna  DN 1500 mm  z kręgów betonowych łączonych na uszczelkę z dnem szczelnym. Wykonana jako osadnikowa. Na studni zamontowany wpust ściekowy uliczny z pełnym kołnierzem żeliwnym z zawiasami i ryglem kl. D400 wg PN-EN124  - o głębokości 3m w gotowym wykopie</t>
  </si>
  <si>
    <t>KNR-W 2-18 0513-06</t>
  </si>
  <si>
    <t xml:space="preserve">Studnie rewizyjne z kręgów betonowych o śr. 1500 mm w gotowym wykopie za każde 0.5 m różnicy głębokości </t>
  </si>
  <si>
    <t>KNR 2-18 0504-02</t>
  </si>
  <si>
    <t>Podłoża betonowe o grubości 10 cm pod studnie</t>
  </si>
  <si>
    <t>KNR-W 2-19 0119-07</t>
  </si>
  <si>
    <t>Rury osłonowa stalowe dzxe 457,0x10,0 mm zaizolowana antykorozyjnie - płozy typ R h=28 mm po 9 elementów komplet - 18 kpl. - manszety typu N DN 300/450</t>
  </si>
  <si>
    <t>KNR-W 2-20 0113-07
analogia</t>
  </si>
  <si>
    <t>Przejścia szczelne przez ścianę betonową ogrubości  15-20 cm dla rurociągów o śr. 110 mm - drenaż</t>
  </si>
  <si>
    <t xml:space="preserve">szt. </t>
  </si>
  <si>
    <t xml:space="preserve">Przejścia szczelne przez ścianę betonową o grubości  15-20 cm dla rurociągów o śr. 200mm </t>
  </si>
  <si>
    <t>KNR-W 2-20 0113-08
analogia</t>
  </si>
  <si>
    <t xml:space="preserve">Przejścia szczelne przez ścianę betonową o grubości  15-20 cm dla rurociągów o śr. 300mm </t>
  </si>
  <si>
    <t xml:space="preserve">Przejścia szczelne przez ścianę betonową o grubości  15-20 cm dla rurociągów o śr. 400mm </t>
  </si>
  <si>
    <t>KNR-W 2-18 0706-02</t>
  </si>
  <si>
    <t xml:space="preserve">Próba wodna szczelności kanałów rurowych o śr.nominalnej 200 mm </t>
  </si>
  <si>
    <t>odc. -1 
prób</t>
  </si>
  <si>
    <t>KNR-W 2-18 0706-04</t>
  </si>
  <si>
    <t xml:space="preserve">Próba wodna szczelności kanałów rurowych o śr.nominalnej 300 mm </t>
  </si>
  <si>
    <t>KNR-W 2-18 0706-05</t>
  </si>
  <si>
    <t xml:space="preserve">Próba wodna szczelności kanałów rurowych o śr.nominalnej 400 mm     </t>
  </si>
  <si>
    <t>48a</t>
  </si>
  <si>
    <t>kalkulacja własna</t>
  </si>
  <si>
    <t xml:space="preserve">Rozbiórki płyt ażurowych typu meba 60x40x10 cm skarpy zbiornika ZB1 wraz z odwiezieneim materiału z rozbiórki w miejsce wskazane przez Zamawiającego na odległość do 5 km </t>
  </si>
  <si>
    <t xml:space="preserve">Rozbiórki płyt ażurowych typu meba 60x40x10 cm skarpy zbiornika ZB2 wraz z odwiezieneim materiału z rozbiórki w miejsce wskazane przez Zamawiającego na odległość do 5 km </t>
  </si>
  <si>
    <t>49a</t>
  </si>
  <si>
    <t xml:space="preserve">Rozbiórki obrodzenia zbiornika ZB1 wraz z odwiezieneim materiału z rozbiórki w miejsce wskazane przez Zamawiającego na odległość do 5 km </t>
  </si>
  <si>
    <t>50a</t>
  </si>
  <si>
    <t>Rozbiórki cokołu betonowego 0.2x0.3 m z fundamentami 0.2x0.8 m - zbiornik  ZB 1 wraz z utylizacją gruzu</t>
  </si>
  <si>
    <t>Rozbiórki cokołu betonowego 0.2x0.3 m z fundamentami 0.2x0.8 m - zbiornik  ZB 2 wraz z utylizacją gruzu</t>
  </si>
  <si>
    <t>51a</t>
  </si>
  <si>
    <t>Rozbiórki maty geosyntetycznej oraz geomembramy - zbiornik  ZB 1 wraz z utylizacją materiału rozbiórkowego</t>
  </si>
  <si>
    <t>Rozbiórki maty geosyntetycznej oraz geomembramy - zbiornik  ZB 2 wraz z utylizacją materiału rozbiórkowego</t>
  </si>
  <si>
    <t>KNR-W 2-01 0220-02</t>
  </si>
  <si>
    <t xml:space="preserve">Wykopy wykonywane spycharkami o mocy 55 kW (75 KM) w gruncie kat. III - zbiornik  ZB 1 </t>
  </si>
  <si>
    <t xml:space="preserve">Wykopy wykonywane spycharkami o mocy 55 kW (75 KM) w gruncie kat. III - zbiornik  ZB 2 </t>
  </si>
  <si>
    <t>KNR-W 2-01 0506-04</t>
  </si>
  <si>
    <t>Plantowanie skarp i dna wykopów wykonywanych mechanicznie w gruncie kat.I-III - zbiornik  ZB 1</t>
  </si>
  <si>
    <t>Plantowanie skarp i dna wykopów wykonywanych mechanicznie w gruncie kat.I-III - zbiornik  ZB 2</t>
  </si>
  <si>
    <t>Nakłady uzupełniające z tytułu transportu urobku - przewóz na odl. do 1 km po terenie lub drogach gruntowych; koparka 0,60 m3, grunt kat I-II - zbiornik  ZB 1</t>
  </si>
  <si>
    <t>Nakłady uzupełniające z tytułu transportu urobku - przewóz na odl. do 1 km po terenie lub drogach gruntowych; koparka 0,60 m3, grunt kat I-II - zbiornik  ZB 2</t>
  </si>
  <si>
    <t>Nakłady uzupełniające z tytułu transportu urobku - dodatek za każde rozpoczęte 0,5 km odl. transportu ponad 1 km po terenie lub drogach gruntowych; grunt kat I-II; łącznie na odl.3 km - zbiornik  ZB 1</t>
  </si>
  <si>
    <t>Nakłady uzupełniające z tytułu transportu urobku - dodatek za każde rozpoczęte 0,5 km odl. transportu ponad 1 km po terenie lub drogach gruntowych; grunt kat I-II; łącznie na odl.3 km - zbiornik  ZB 2</t>
  </si>
  <si>
    <t>KNR 9-11 0401-02</t>
  </si>
  <si>
    <t>Wzmacnianie powierzchni dna i skarp geosyntetykami sposobem ręcznym -geowłóknina 400g/m2 - zbiornik  ZB 1</t>
  </si>
  <si>
    <t>Wzmacnianie powierzchni dna i skarp geosyntetykami sposobem ręcznym -geowłóknina 400g/m2 - zbiornik  ZB 2</t>
  </si>
  <si>
    <t>Wzmacnianie powierzchni dna i skarp geosyntetykami sposobem ręcznym -geomembrana HDPE gr.1,5mm - zbiornik  ZB 1</t>
  </si>
  <si>
    <t>Wzmacnianie powierzchni dna i skarp geosyntetykami sposobem ręcznym -geomembrana HDPE gr.1,5mm - zbiornik  ZB 2</t>
  </si>
  <si>
    <t>KNR-W 2-02 1901-03</t>
  </si>
  <si>
    <t>Umocnienie dna i skarp zbiorników terenowych - pospółka gr.15cm i 20 cm - zbiornik  ZB 1</t>
  </si>
  <si>
    <t>Umocnienie dna i skarp zbiorników terenowych - pospółka gr.15cm i 20 cm - zbiornik  ZB 2</t>
  </si>
  <si>
    <t>Umocnienie dna zbiorników terenowych - narzut kamienny gr.15cm - zbiornik  ZB 1</t>
  </si>
  <si>
    <t>Umocnienie dna zbiorników terenowych - narzut kamienny gr.15cm - zbiornik  ZB 2</t>
  </si>
  <si>
    <t>KNR-W 2-02 1901-05</t>
  </si>
  <si>
    <t>Umocnienie skarp zbiorników terenowych płytami ażurowymi meba 60x40x10cm - zbiornik  ZB 1</t>
  </si>
  <si>
    <t>Umocnienie skarp zbiorników terenowych płytami ażurowymi meba 60x40x10cm - zbiornik  ZB 2</t>
  </si>
  <si>
    <t>Wypełnienie otworów płyt ażurowych żwirem do poziomu piętrzenia - zbiornik  ZB 1</t>
  </si>
  <si>
    <t>Wypełnienie otworów płyt ażurowych żwirem do poziomu piętrzenia - zbiornik  ZB 2</t>
  </si>
  <si>
    <t>KNR-W 2-02 1901-08
analogia</t>
  </si>
  <si>
    <t>Wypełnienie otworów płyt ażurowych ziemią roślinną powyżej poziomu piętrzenia  - zbiornik  ZB 1</t>
  </si>
  <si>
    <t>Wypełnienie otworów płyt ażurowych ziemią roślinną powyżej poziomu piętrzenia  - zbiornik  ZB 2</t>
  </si>
  <si>
    <t>KNR-W 2-02 1801-02</t>
  </si>
  <si>
    <t>Cokoły betonowe 0.2x0.3 m z fundamentami 0.2x0.8 m - zbiornik  ZB 1</t>
  </si>
  <si>
    <t>Cokoły betonowe 0.2x0.3 m z fundamentami 0.2x0.8 m - zbiornik  ZB 2</t>
  </si>
  <si>
    <t>KNR-W 2-02 1803-02</t>
  </si>
  <si>
    <t>Ogrodzenie z siatki wysokości 1,5 m na słupkach stalowych z rur o rozstawie 2,4 m obsadzonych w cokole - zbiornik  ZB 1</t>
  </si>
  <si>
    <t>Ogrodzenie z siatki wysokości 1,5 m na słupkach stalowych z rur o rozstawie 2,4 m obsadzonych w cokole - zbiornik  ZB 2</t>
  </si>
  <si>
    <t>KNR AT-30 0404-04</t>
  </si>
  <si>
    <t>Elementy dodatkowe i zabezpieczenia ochronne - siatka polipropylenowa do zabezpieczeń przed ptakami - zbiornik  ZB 1</t>
  </si>
  <si>
    <t>Elementy dodatkowe i zabezpieczenia ochronne - siatka polipropylenowa do zabezpieczeń przed ptakami - zbiornik  ZB 2</t>
  </si>
  <si>
    <t>BRANŻA ELEKTRYCZNA</t>
  </si>
  <si>
    <t xml:space="preserve">Montaż opraw oświetleniowych </t>
  </si>
  <si>
    <t>kpl</t>
  </si>
  <si>
    <t>1.4</t>
  </si>
  <si>
    <t>STWIOR - br. elektr.</t>
  </si>
  <si>
    <t>Montaż - Oprawa naziemna krawędziowa drogi kołowania wraz z instalacją fundamentu</t>
  </si>
  <si>
    <t>1.6</t>
  </si>
  <si>
    <t xml:space="preserve">Montaż transformatorów izolujących wraz ze złączami </t>
  </si>
  <si>
    <t>szt.</t>
  </si>
  <si>
    <t>1.7</t>
  </si>
  <si>
    <t>Układanie kabli 1x6mm2 (5kV)</t>
  </si>
  <si>
    <t>1.8</t>
  </si>
  <si>
    <t>Układanie kabli 2x4mm2 (750V)</t>
  </si>
  <si>
    <t>1.9</t>
  </si>
  <si>
    <t>Montaż złącz SN (gniazdo-wtyczka) na kablu 1x6 mm2</t>
  </si>
  <si>
    <t>1.10</t>
  </si>
  <si>
    <t>Montaż złącz nn. (gniazdo-wtyczka) na przewód 2x4mm2</t>
  </si>
  <si>
    <t>1.11</t>
  </si>
  <si>
    <t>Dostawa oznaczników kablowych (kable 5kV i 1kV)</t>
  </si>
  <si>
    <t>kpl.</t>
  </si>
  <si>
    <t>1.12</t>
  </si>
  <si>
    <t>Kanalizacja kablowa</t>
  </si>
  <si>
    <t>5.1</t>
  </si>
  <si>
    <t>Obróbka cementowa luźnych ścianek i dna otworu</t>
  </si>
  <si>
    <t>5.2</t>
  </si>
  <si>
    <t>Przewody izolowane jednożyłowe o przekroju do 35 mm2 układane w gotowych korytkach - uziemienie transformatorów izolujących w studniach kablowych przewód 16mm2</t>
  </si>
  <si>
    <t>5.3</t>
  </si>
  <si>
    <t>Instalacja studni kablowych prefabrykowanych SK wraz z pokrywą</t>
  </si>
  <si>
    <t>5.4</t>
  </si>
  <si>
    <t>Kopanie koparkami podsiębiernymi rowów dla kabli o głębokości do 0.6 m i szer. dna do 0.8 m w gruncie kat. III-IV</t>
  </si>
  <si>
    <t>5.5</t>
  </si>
  <si>
    <t xml:space="preserve">Budowa kanalizacji kablowej z rur HDPE fi 110 </t>
  </si>
  <si>
    <t>5.6</t>
  </si>
  <si>
    <t xml:space="preserve">Zasypanie wykopów ziemią z odkładu z zagęszczeniem </t>
  </si>
  <si>
    <t>5.7</t>
  </si>
  <si>
    <t>Ułożenie taśmy stalowej ocynkowanej 25x4mm wzdłuż proj. kanalizacji kablowej</t>
  </si>
  <si>
    <t>Watrość netto</t>
  </si>
  <si>
    <t xml:space="preserve">Podatek Vat </t>
  </si>
  <si>
    <t xml:space="preserve">Wartość brutto </t>
  </si>
  <si>
    <t>a</t>
  </si>
  <si>
    <t>b</t>
  </si>
  <si>
    <t xml:space="preserve">Transport i utulizacja nadmiaru humusu (humus do ponownego humusowania po zakończeniu robót) uprzednio zmagazynowanego w hałdach na odleg łość do 5 km samochodami samowyładowczymi z drógi kołowania </t>
  </si>
  <si>
    <t xml:space="preserve">Wykopy oraz przekopy wykonywane na odkład koparkami, urobek do ponownego wbudowania - drogi kołowania </t>
  </si>
  <si>
    <t xml:space="preserve">Formowanie i zagęszczanie nasypów - grunt nasypowy z dowozu z odległości 10 km pod drogi kołowania </t>
  </si>
  <si>
    <t>Roboty pomiarowe przy liniowych robotach ziemnych - trasa dróg kołowania</t>
  </si>
  <si>
    <t xml:space="preserve">Dostawa lub rozbudowa lub podłączenie do istotnego regulatora CCR </t>
  </si>
  <si>
    <t>Zakup wraz  z dostawą opraw naziemnych ze źródłem światła typu LED krawędzi drogi kołowania wraz ze studniami stalowymi typu L867 o głębokosci 610 mm wraz  trasnrormatorami, oraz kompletem złącz;
Dostawa i uruchomienie opragramowania panelu sterowania o dodatkowe światła krawędzi drogi kołowania, usługa wymiany oprogramowania (bez dodatkowych funkcjonalności);
Dostawa i uruchomienie rozdzielni zasilania dla oświetlenia lądowiska (TLOF/FATO/HAPI) wyposażonej w moduł rezystancji izolacji i regulację intensywności, przygotowana pod komunikację szeregową dla integracji z systemem sterowania;
Dostawa i uruchomienie opragramowania panelu sterowania o obsługę sterowania lądowiskiem, zintegrowanie sterownika radiowego HRC dla załączania zdalnego;
Dostawa i montarz systemu sterowania o modem dla zdalnej komunikacji z producentem (zapewnienie możliwości zdalnego suportu).</t>
  </si>
  <si>
    <t>Usunięcie warstwy ziemi urodzajnej (humusu) o grubości ok. 35 cm za pomocą spycharek - drogi kołowania Alpha, Charli,Delta</t>
  </si>
  <si>
    <t>Rozbudowa i przebudowa lotniska polegająca na budowie sztucznej drogi startowej oraz dróg kołowania wraz z niezbędną infrastrukturą na lotnisku PWSZ w Depułtyczach Królewskich               - etap II (droga kołowania Alpha, Charli, Delta, Golf II)</t>
  </si>
  <si>
    <t xml:space="preserve"> </t>
  </si>
  <si>
    <t>PRZEDMIAR ROBÓT</t>
  </si>
  <si>
    <r>
      <t xml:space="preserve">Malowanie oznakowania  poziomego materiałami cienkowarstwowymi - farbami akryklowymi - koloru żółtego </t>
    </r>
    <r>
      <rPr>
        <sz val="11"/>
        <color indexed="17"/>
        <rFont val="Arial Narrow"/>
        <family val="2"/>
        <charset val="238"/>
      </rPr>
      <t>oraz wykonanie oznakowania  pionowego</t>
    </r>
    <r>
      <rPr>
        <sz val="11"/>
        <color indexed="63"/>
        <rFont val="Arial Narrow"/>
        <family val="2"/>
        <charset val="238"/>
      </rPr>
      <t xml:space="preserve">  dróg kołowania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</si>
</sst>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>
    <font>
      <sz val="11"/>
      <color indexed="63"/>
      <name val="Czcionka tekstu podstawowego"/>
      <family val="2"/>
      <charset val="238"/>
    </font>
    <font>
      <sz val="11"/>
      <color indexed="63"/>
      <name val="Calibri"/>
      <family val="2"/>
      <charset val="238"/>
    </font>
    <font>
      <sz val="10"/>
      <color indexed="63"/>
      <name val="Arial Narrow"/>
      <family val="2"/>
      <charset val="238"/>
    </font>
    <font>
      <sz val="11"/>
      <color indexed="63"/>
      <name val="Calibri Light"/>
      <family val="2"/>
      <charset val="238"/>
    </font>
    <font>
      <sz val="6.5"/>
      <color indexed="63"/>
      <name val="Arial Narrow"/>
      <family val="2"/>
      <charset val="238"/>
    </font>
    <font>
      <b/>
      <sz val="6.5"/>
      <color indexed="30"/>
      <name val="Arial Narrow"/>
      <family val="2"/>
      <charset val="238"/>
    </font>
    <font>
      <sz val="11"/>
      <color indexed="30"/>
      <name val="Czcionka tekstu podstawowego"/>
      <family val="2"/>
      <charset val="238"/>
    </font>
    <font>
      <b/>
      <sz val="11"/>
      <color indexed="30"/>
      <name val="Czcionka tekstu podstawowego"/>
      <charset val="238"/>
    </font>
    <font>
      <sz val="6.5"/>
      <name val="Arial Narrow"/>
      <family val="2"/>
      <charset val="238"/>
    </font>
    <font>
      <sz val="11"/>
      <name val="Czcionka tekstu podstawowego"/>
      <family val="2"/>
      <charset val="238"/>
    </font>
    <font>
      <sz val="6.5"/>
      <color indexed="30"/>
      <name val="Arial Narrow"/>
      <family val="2"/>
      <charset val="238"/>
    </font>
    <font>
      <b/>
      <sz val="11"/>
      <color indexed="63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color indexed="63"/>
      <name val="Arial Narrow"/>
      <family val="2"/>
      <charset val="238"/>
    </font>
    <font>
      <i/>
      <sz val="11"/>
      <name val="Arial Narrow"/>
      <family val="2"/>
      <charset val="238"/>
    </font>
    <font>
      <b/>
      <sz val="11"/>
      <color indexed="30"/>
      <name val="Arial Narrow"/>
      <family val="2"/>
      <charset val="238"/>
    </font>
    <font>
      <sz val="11"/>
      <color indexed="63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17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22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164" fontId="2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 wrapText="1"/>
    </xf>
    <xf numFmtId="0" fontId="0" fillId="0" borderId="0" xfId="0" applyAlignment="1">
      <alignment wrapText="1"/>
    </xf>
    <xf numFmtId="164" fontId="4" fillId="0" borderId="2" xfId="0" applyNumberFormat="1" applyFont="1" applyFill="1" applyBorder="1" applyAlignment="1">
      <alignment horizontal="left"/>
    </xf>
    <xf numFmtId="4" fontId="0" fillId="2" borderId="0" xfId="0" applyNumberFormat="1" applyFill="1"/>
    <xf numFmtId="164" fontId="5" fillId="0" borderId="3" xfId="0" applyNumberFormat="1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wrapText="1"/>
    </xf>
    <xf numFmtId="164" fontId="4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ill="1"/>
    <xf numFmtId="0" fontId="0" fillId="0" borderId="0" xfId="0" applyFont="1" applyFill="1" applyAlignment="1">
      <alignment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Alignment="1">
      <alignment horizontal="left"/>
    </xf>
    <xf numFmtId="0" fontId="9" fillId="0" borderId="0" xfId="0" applyFont="1"/>
    <xf numFmtId="4" fontId="9" fillId="2" borderId="0" xfId="0" applyNumberFormat="1" applyFont="1" applyFill="1"/>
    <xf numFmtId="4" fontId="9" fillId="0" borderId="0" xfId="0" applyNumberFormat="1" applyFont="1"/>
    <xf numFmtId="164" fontId="10" fillId="0" borderId="0" xfId="0" applyNumberFormat="1" applyFont="1" applyFill="1" applyAlignment="1">
      <alignment horizontal="left"/>
    </xf>
    <xf numFmtId="4" fontId="6" fillId="2" borderId="0" xfId="0" applyNumberFormat="1" applyFont="1" applyFill="1"/>
    <xf numFmtId="4" fontId="0" fillId="0" borderId="0" xfId="0" applyNumberFormat="1" applyFill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" fontId="11" fillId="2" borderId="20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16" fillId="0" borderId="23" xfId="0" applyNumberFormat="1" applyFont="1" applyBorder="1" applyAlignment="1">
      <alignment horizontal="center" vertical="center" wrapText="1"/>
    </xf>
    <xf numFmtId="1" fontId="15" fillId="2" borderId="24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 wrapText="1"/>
    </xf>
    <xf numFmtId="3" fontId="17" fillId="0" borderId="2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4" fontId="17" fillId="0" borderId="23" xfId="0" applyNumberFormat="1" applyFont="1" applyFill="1" applyBorder="1" applyAlignment="1">
      <alignment horizontal="center" vertical="center" wrapText="1"/>
    </xf>
    <xf numFmtId="1" fontId="15" fillId="2" borderId="20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7" fillId="0" borderId="16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4" fontId="16" fillId="0" borderId="17" xfId="0" applyNumberFormat="1" applyFont="1" applyBorder="1" applyAlignment="1">
      <alignment horizontal="center" vertical="center" wrapText="1"/>
    </xf>
    <xf numFmtId="4" fontId="16" fillId="0" borderId="2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4"/>
  <sheetViews>
    <sheetView tabSelected="1" topLeftCell="B97" zoomScaleNormal="100" workbookViewId="0">
      <selection activeCell="K104" sqref="K104"/>
    </sheetView>
  </sheetViews>
  <sheetFormatPr defaultRowHeight="15"/>
  <cols>
    <col min="1" max="1" width="8.875" style="1" hidden="1" customWidth="1"/>
    <col min="2" max="2" width="4.5" customWidth="1"/>
    <col min="3" max="3" width="10.5" style="2" customWidth="1"/>
    <col min="4" max="4" width="69.875" customWidth="1"/>
    <col min="5" max="5" width="7" style="3" customWidth="1"/>
    <col min="6" max="6" width="7.75" bestFit="1" customWidth="1"/>
    <col min="7" max="7" width="9.375" style="4" customWidth="1"/>
    <col min="8" max="8" width="6.875" style="5" customWidth="1"/>
  </cols>
  <sheetData>
    <row r="1" spans="1:256" ht="15" customHeight="1">
      <c r="A1" s="6"/>
      <c r="B1" s="26" t="s">
        <v>199</v>
      </c>
      <c r="C1" s="26"/>
      <c r="D1" s="26"/>
      <c r="E1" s="26"/>
      <c r="F1" s="26"/>
      <c r="G1" s="26"/>
      <c r="H1" s="26"/>
    </row>
    <row r="2" spans="1:256" ht="33.75" customHeight="1" thickBot="1">
      <c r="A2" s="6"/>
      <c r="B2" s="27" t="s">
        <v>197</v>
      </c>
      <c r="C2" s="27"/>
      <c r="D2" s="27"/>
      <c r="E2" s="27"/>
      <c r="F2" s="27"/>
      <c r="G2" s="27"/>
      <c r="H2" s="27"/>
    </row>
    <row r="3" spans="1:256" ht="49.5">
      <c r="A3" s="6"/>
      <c r="B3" s="28" t="s">
        <v>0</v>
      </c>
      <c r="C3" s="29" t="s">
        <v>1</v>
      </c>
      <c r="D3" s="30" t="s">
        <v>2</v>
      </c>
      <c r="E3" s="30" t="s">
        <v>3</v>
      </c>
      <c r="F3" s="30" t="s">
        <v>4</v>
      </c>
      <c r="G3" s="29" t="s">
        <v>5</v>
      </c>
      <c r="H3" s="31" t="s">
        <v>6</v>
      </c>
    </row>
    <row r="4" spans="1:256" ht="17.25" thickBot="1">
      <c r="A4" s="7"/>
      <c r="B4" s="32" t="s">
        <v>188</v>
      </c>
      <c r="C4" s="33" t="s">
        <v>189</v>
      </c>
      <c r="D4" s="34" t="s">
        <v>7</v>
      </c>
      <c r="E4" s="34" t="s">
        <v>8</v>
      </c>
      <c r="F4" s="33" t="s">
        <v>9</v>
      </c>
      <c r="G4" s="33" t="s">
        <v>10</v>
      </c>
      <c r="H4" s="35" t="s">
        <v>11</v>
      </c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" customHeight="1">
      <c r="A5" s="9"/>
      <c r="B5" s="36"/>
      <c r="C5" s="37" t="s">
        <v>12</v>
      </c>
      <c r="D5" s="37"/>
      <c r="E5" s="37"/>
      <c r="F5" s="37"/>
      <c r="G5" s="37"/>
      <c r="H5" s="38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s="12" customFormat="1" ht="10.5" customHeight="1">
      <c r="A6" s="11"/>
      <c r="B6" s="39"/>
      <c r="C6" s="40" t="s">
        <v>13</v>
      </c>
      <c r="D6" s="40"/>
      <c r="E6" s="40"/>
      <c r="F6" s="40"/>
      <c r="G6" s="40"/>
      <c r="H6" s="41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 ht="33">
      <c r="A7" s="14"/>
      <c r="B7" s="42">
        <v>2</v>
      </c>
      <c r="C7" s="43" t="s">
        <v>14</v>
      </c>
      <c r="D7" s="44" t="s">
        <v>193</v>
      </c>
      <c r="E7" s="43" t="s">
        <v>15</v>
      </c>
      <c r="F7" s="45">
        <v>1.181</v>
      </c>
      <c r="G7" s="46"/>
      <c r="H7" s="47">
        <f>G7*F7</f>
        <v>0</v>
      </c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12" customFormat="1" ht="10.5" customHeight="1">
      <c r="A8" s="11"/>
      <c r="B8" s="39"/>
      <c r="C8" s="40" t="s">
        <v>16</v>
      </c>
      <c r="D8" s="40"/>
      <c r="E8" s="40"/>
      <c r="F8" s="40"/>
      <c r="G8" s="40"/>
      <c r="H8" s="41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s="16" customFormat="1" ht="33">
      <c r="A9" s="14">
        <v>138412</v>
      </c>
      <c r="B9" s="48">
        <v>3</v>
      </c>
      <c r="C9" s="49" t="s">
        <v>17</v>
      </c>
      <c r="D9" s="50" t="s">
        <v>196</v>
      </c>
      <c r="E9" s="49" t="s">
        <v>18</v>
      </c>
      <c r="F9" s="51">
        <v>30493</v>
      </c>
      <c r="G9" s="51"/>
      <c r="H9" s="52">
        <f>G9*F9</f>
        <v>0</v>
      </c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s="16" customFormat="1" ht="49.5">
      <c r="A10" s="14">
        <v>34642</v>
      </c>
      <c r="B10" s="48">
        <v>4</v>
      </c>
      <c r="C10" s="49" t="s">
        <v>19</v>
      </c>
      <c r="D10" s="53" t="s">
        <v>190</v>
      </c>
      <c r="E10" s="49" t="s">
        <v>20</v>
      </c>
      <c r="F10" s="51">
        <f>F9*0.35</f>
        <v>10672.55</v>
      </c>
      <c r="G10" s="51"/>
      <c r="H10" s="52">
        <f>G10*F10</f>
        <v>0</v>
      </c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s="16" customFormat="1" ht="33">
      <c r="A11" s="14">
        <v>40139</v>
      </c>
      <c r="B11" s="54">
        <v>5</v>
      </c>
      <c r="C11" s="49" t="s">
        <v>21</v>
      </c>
      <c r="D11" s="53" t="s">
        <v>191</v>
      </c>
      <c r="E11" s="49" t="s">
        <v>20</v>
      </c>
      <c r="F11" s="51">
        <v>17616.46</v>
      </c>
      <c r="G11" s="51"/>
      <c r="H11" s="52">
        <f>G11*F11</f>
        <v>0</v>
      </c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s="16" customFormat="1" ht="33">
      <c r="A12" s="14">
        <v>21906</v>
      </c>
      <c r="B12" s="54">
        <v>7</v>
      </c>
      <c r="C12" s="49" t="s">
        <v>22</v>
      </c>
      <c r="D12" s="53" t="s">
        <v>192</v>
      </c>
      <c r="E12" s="49" t="s">
        <v>20</v>
      </c>
      <c r="F12" s="51">
        <v>3523.29</v>
      </c>
      <c r="G12" s="51"/>
      <c r="H12" s="52">
        <f>G12*F12</f>
        <v>0</v>
      </c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s="12" customFormat="1" ht="10.5" customHeight="1">
      <c r="A13" s="11"/>
      <c r="B13" s="39"/>
      <c r="C13" s="40" t="s">
        <v>23</v>
      </c>
      <c r="D13" s="40"/>
      <c r="E13" s="40"/>
      <c r="F13" s="40"/>
      <c r="G13" s="40"/>
      <c r="H13" s="41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33">
      <c r="A14" s="14">
        <v>3717.4</v>
      </c>
      <c r="B14" s="42">
        <v>17</v>
      </c>
      <c r="C14" s="43" t="s">
        <v>24</v>
      </c>
      <c r="D14" s="44" t="s">
        <v>25</v>
      </c>
      <c r="E14" s="43" t="s">
        <v>18</v>
      </c>
      <c r="F14" s="46">
        <f>F15</f>
        <v>15234.420399999999</v>
      </c>
      <c r="G14" s="46"/>
      <c r="H14" s="47">
        <f t="shared" ref="H14:H22" si="0">G14*F14</f>
        <v>0</v>
      </c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ht="33">
      <c r="A15" s="14"/>
      <c r="B15" s="42">
        <v>18</v>
      </c>
      <c r="C15" s="43" t="s">
        <v>26</v>
      </c>
      <c r="D15" s="44" t="s">
        <v>27</v>
      </c>
      <c r="E15" s="43" t="s">
        <v>18</v>
      </c>
      <c r="F15" s="46">
        <f>13609.06+1.42*1144.62</f>
        <v>15234.420399999999</v>
      </c>
      <c r="G15" s="46"/>
      <c r="H15" s="47">
        <f t="shared" si="0"/>
        <v>0</v>
      </c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ht="49.5">
      <c r="A16" s="14">
        <v>3574</v>
      </c>
      <c r="B16" s="42">
        <v>19</v>
      </c>
      <c r="C16" s="43" t="s">
        <v>28</v>
      </c>
      <c r="D16" s="44" t="s">
        <v>29</v>
      </c>
      <c r="E16" s="43" t="s">
        <v>18</v>
      </c>
      <c r="F16" s="46">
        <f>F15-(2*0.22)*1144.62</f>
        <v>14730.7876</v>
      </c>
      <c r="G16" s="46"/>
      <c r="H16" s="47">
        <f t="shared" si="0"/>
        <v>0</v>
      </c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 ht="33">
      <c r="A17" s="14">
        <v>3478.4</v>
      </c>
      <c r="B17" s="42">
        <v>20</v>
      </c>
      <c r="C17" s="43" t="s">
        <v>30</v>
      </c>
      <c r="D17" s="44" t="s">
        <v>31</v>
      </c>
      <c r="E17" s="43" t="s">
        <v>18</v>
      </c>
      <c r="F17" s="46">
        <f>F16-(2*0.22)*1144.62</f>
        <v>14227.1548</v>
      </c>
      <c r="G17" s="46"/>
      <c r="H17" s="47">
        <f t="shared" si="0"/>
        <v>0</v>
      </c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 ht="33">
      <c r="A18" s="14"/>
      <c r="B18" s="42">
        <v>21</v>
      </c>
      <c r="C18" s="43" t="s">
        <v>32</v>
      </c>
      <c r="D18" s="44" t="s">
        <v>33</v>
      </c>
      <c r="E18" s="43" t="s">
        <v>18</v>
      </c>
      <c r="F18" s="46">
        <f>F19</f>
        <v>13609.062</v>
      </c>
      <c r="G18" s="46"/>
      <c r="H18" s="47">
        <f t="shared" si="0"/>
        <v>0</v>
      </c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 ht="33">
      <c r="A19" s="14"/>
      <c r="B19" s="42">
        <v>22</v>
      </c>
      <c r="C19" s="43" t="s">
        <v>34</v>
      </c>
      <c r="D19" s="44" t="s">
        <v>35</v>
      </c>
      <c r="E19" s="43" t="s">
        <v>18</v>
      </c>
      <c r="F19" s="46">
        <f>F20+1144.62*0.1</f>
        <v>13609.062</v>
      </c>
      <c r="G19" s="46"/>
      <c r="H19" s="47">
        <f t="shared" si="0"/>
        <v>0</v>
      </c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 ht="33">
      <c r="A20" s="14"/>
      <c r="B20" s="42">
        <v>23</v>
      </c>
      <c r="C20" s="43" t="s">
        <v>36</v>
      </c>
      <c r="D20" s="44" t="s">
        <v>37</v>
      </c>
      <c r="E20" s="43" t="s">
        <v>18</v>
      </c>
      <c r="F20" s="46">
        <v>13494.6</v>
      </c>
      <c r="G20" s="46"/>
      <c r="H20" s="47">
        <f t="shared" si="0"/>
        <v>0</v>
      </c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 ht="33">
      <c r="A21" s="14"/>
      <c r="B21" s="42">
        <v>24</v>
      </c>
      <c r="C21" s="43" t="s">
        <v>32</v>
      </c>
      <c r="D21" s="44" t="s">
        <v>38</v>
      </c>
      <c r="E21" s="43" t="s">
        <v>18</v>
      </c>
      <c r="F21" s="46">
        <f>F20</f>
        <v>13494.6</v>
      </c>
      <c r="G21" s="46"/>
      <c r="H21" s="47">
        <f t="shared" si="0"/>
        <v>0</v>
      </c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 ht="33">
      <c r="A22" s="14"/>
      <c r="B22" s="42">
        <v>25</v>
      </c>
      <c r="C22" s="43" t="s">
        <v>39</v>
      </c>
      <c r="D22" s="44" t="s">
        <v>40</v>
      </c>
      <c r="E22" s="43" t="s">
        <v>18</v>
      </c>
      <c r="F22" s="46">
        <f>F21</f>
        <v>13494.6</v>
      </c>
      <c r="G22" s="46"/>
      <c r="H22" s="47">
        <f t="shared" si="0"/>
        <v>0</v>
      </c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 s="12" customFormat="1" ht="10.5" customHeight="1">
      <c r="A23" s="11"/>
      <c r="B23" s="39"/>
      <c r="C23" s="40" t="s">
        <v>41</v>
      </c>
      <c r="D23" s="40"/>
      <c r="E23" s="40"/>
      <c r="F23" s="40"/>
      <c r="G23" s="40"/>
      <c r="H23" s="41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ht="33">
      <c r="A24" s="14"/>
      <c r="B24" s="42">
        <v>44</v>
      </c>
      <c r="C24" s="43" t="s">
        <v>42</v>
      </c>
      <c r="D24" s="44" t="s">
        <v>200</v>
      </c>
      <c r="E24" s="43" t="s">
        <v>18</v>
      </c>
      <c r="F24" s="46">
        <f>1144.62*0.3+0.3*2*(28.88+47.61)</f>
        <v>389.28</v>
      </c>
      <c r="G24" s="46"/>
      <c r="H24" s="47">
        <f>G24*F24</f>
        <v>0</v>
      </c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s="12" customFormat="1" ht="10.5" customHeight="1">
      <c r="A25" s="11"/>
      <c r="B25" s="39"/>
      <c r="C25" s="40" t="s">
        <v>43</v>
      </c>
      <c r="D25" s="40"/>
      <c r="E25" s="40"/>
      <c r="F25" s="40"/>
      <c r="G25" s="40"/>
      <c r="H25" s="41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ht="33.75" thickBot="1">
      <c r="A26" s="18"/>
      <c r="B26" s="55">
        <v>46</v>
      </c>
      <c r="C26" s="56" t="s">
        <v>44</v>
      </c>
      <c r="D26" s="57" t="s">
        <v>45</v>
      </c>
      <c r="E26" s="56" t="s">
        <v>18</v>
      </c>
      <c r="F26" s="58">
        <f>F9-F22</f>
        <v>16998.400000000001</v>
      </c>
      <c r="G26" s="58"/>
      <c r="H26" s="59">
        <f>G26*F26</f>
        <v>0</v>
      </c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 ht="15" customHeight="1">
      <c r="A27" s="6"/>
      <c r="B27" s="60"/>
      <c r="C27" s="61" t="s">
        <v>46</v>
      </c>
      <c r="D27" s="61"/>
      <c r="E27" s="61"/>
      <c r="F27" s="61"/>
      <c r="G27" s="61"/>
      <c r="H27" s="62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12" customFormat="1" ht="10.5" customHeight="1">
      <c r="A28" s="11"/>
      <c r="B28" s="39"/>
      <c r="C28" s="40" t="s">
        <v>47</v>
      </c>
      <c r="D28" s="40"/>
      <c r="E28" s="40"/>
      <c r="F28" s="40"/>
      <c r="G28" s="40"/>
      <c r="H28" s="41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ht="33">
      <c r="A29" s="6">
        <v>1447.2190000000001</v>
      </c>
      <c r="B29" s="63">
        <v>1</v>
      </c>
      <c r="C29" s="49" t="s">
        <v>48</v>
      </c>
      <c r="D29" s="53" t="s">
        <v>49</v>
      </c>
      <c r="E29" s="49" t="s">
        <v>20</v>
      </c>
      <c r="F29" s="64">
        <v>125.36</v>
      </c>
      <c r="G29" s="51"/>
      <c r="H29" s="52">
        <f t="shared" ref="H29:H35" si="1">ROUND(G29*F29,2)</f>
        <v>0</v>
      </c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20" customFormat="1" ht="33">
      <c r="A30" s="19">
        <v>5788.8630000000003</v>
      </c>
      <c r="B30" s="65">
        <v>2</v>
      </c>
      <c r="C30" s="66" t="s">
        <v>50</v>
      </c>
      <c r="D30" s="50" t="s">
        <v>51</v>
      </c>
      <c r="E30" s="66" t="s">
        <v>20</v>
      </c>
      <c r="F30" s="67">
        <f>(F37+F38+F39+30.85+17.5+7.5+16+8+34+7.5+12)*1*2.4</f>
        <v>3269.64</v>
      </c>
      <c r="G30" s="68"/>
      <c r="H30" s="69">
        <f t="shared" si="1"/>
        <v>0</v>
      </c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pans="1:256" s="20" customFormat="1" ht="33">
      <c r="A31" s="19">
        <v>2372.0729999999999</v>
      </c>
      <c r="B31" s="65">
        <v>3</v>
      </c>
      <c r="C31" s="66" t="s">
        <v>52</v>
      </c>
      <c r="D31" s="50" t="s">
        <v>53</v>
      </c>
      <c r="E31" s="66" t="s">
        <v>20</v>
      </c>
      <c r="F31" s="67">
        <f>F37*0.61+F38*0.6793+F39*0.7257</f>
        <v>829.06369999999993</v>
      </c>
      <c r="G31" s="68"/>
      <c r="H31" s="69">
        <f t="shared" si="1"/>
        <v>0</v>
      </c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</row>
    <row r="32" spans="1:256" s="20" customFormat="1" ht="49.5">
      <c r="A32" s="19">
        <v>916</v>
      </c>
      <c r="B32" s="65">
        <v>4</v>
      </c>
      <c r="C32" s="66" t="s">
        <v>52</v>
      </c>
      <c r="D32" s="50" t="s">
        <v>54</v>
      </c>
      <c r="E32" s="66" t="s">
        <v>20</v>
      </c>
      <c r="F32" s="67">
        <f>F40*0.76*1.3</f>
        <v>886.2360000000001</v>
      </c>
      <c r="G32" s="68"/>
      <c r="H32" s="69">
        <f t="shared" si="1"/>
        <v>0</v>
      </c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</row>
    <row r="33" spans="1:256" s="20" customFormat="1" ht="49.5">
      <c r="A33" s="19">
        <v>1842.433</v>
      </c>
      <c r="B33" s="70">
        <v>5</v>
      </c>
      <c r="C33" s="66" t="s">
        <v>55</v>
      </c>
      <c r="D33" s="50" t="s">
        <v>56</v>
      </c>
      <c r="E33" s="66" t="s">
        <v>20</v>
      </c>
      <c r="F33" s="67">
        <f>(F38+F37+F39)*1.35</f>
        <v>1659.15</v>
      </c>
      <c r="G33" s="68"/>
      <c r="H33" s="69">
        <f t="shared" si="1"/>
        <v>0</v>
      </c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pans="1:256" s="20" customFormat="1" ht="49.5">
      <c r="A34" s="19">
        <v>5130.5060000000003</v>
      </c>
      <c r="B34" s="70">
        <v>6</v>
      </c>
      <c r="C34" s="66" t="s">
        <v>57</v>
      </c>
      <c r="D34" s="50" t="s">
        <v>58</v>
      </c>
      <c r="E34" s="66" t="s">
        <v>20</v>
      </c>
      <c r="F34" s="67">
        <f>F33+F32</f>
        <v>2545.3860000000004</v>
      </c>
      <c r="G34" s="68"/>
      <c r="H34" s="69">
        <f t="shared" si="1"/>
        <v>0</v>
      </c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pans="1:256" s="20" customFormat="1" ht="49.5">
      <c r="A35" s="19">
        <v>5130.5060000000003</v>
      </c>
      <c r="B35" s="70">
        <v>7</v>
      </c>
      <c r="C35" s="66" t="s">
        <v>59</v>
      </c>
      <c r="D35" s="50" t="s">
        <v>60</v>
      </c>
      <c r="E35" s="66" t="s">
        <v>20</v>
      </c>
      <c r="F35" s="67">
        <f>F34</f>
        <v>2545.3860000000004</v>
      </c>
      <c r="G35" s="68"/>
      <c r="H35" s="69">
        <f t="shared" si="1"/>
        <v>0</v>
      </c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pans="1:256" s="12" customFormat="1" ht="10.5" customHeight="1">
      <c r="A36" s="11"/>
      <c r="B36" s="39"/>
      <c r="C36" s="40" t="s">
        <v>61</v>
      </c>
      <c r="D36" s="40"/>
      <c r="E36" s="40"/>
      <c r="F36" s="40"/>
      <c r="G36" s="40"/>
      <c r="H36" s="41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s="20" customFormat="1" ht="24" customHeight="1">
      <c r="A37" s="19">
        <v>14.9</v>
      </c>
      <c r="B37" s="65">
        <v>13</v>
      </c>
      <c r="C37" s="66" t="s">
        <v>62</v>
      </c>
      <c r="D37" s="50" t="s">
        <v>63</v>
      </c>
      <c r="E37" s="66" t="s">
        <v>64</v>
      </c>
      <c r="F37" s="68">
        <f>12*14</f>
        <v>168</v>
      </c>
      <c r="G37" s="68"/>
      <c r="H37" s="69">
        <f t="shared" ref="H37:H54" si="2">ROUND(G37*F37,2)</f>
        <v>0</v>
      </c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pans="1:256" s="20" customFormat="1" ht="24" customHeight="1">
      <c r="A38" s="19">
        <v>14.9</v>
      </c>
      <c r="B38" s="65">
        <v>14</v>
      </c>
      <c r="C38" s="66" t="s">
        <v>62</v>
      </c>
      <c r="D38" s="50" t="s">
        <v>65</v>
      </c>
      <c r="E38" s="66" t="s">
        <v>64</v>
      </c>
      <c r="F38" s="68">
        <f>310+385+240</f>
        <v>935</v>
      </c>
      <c r="G38" s="68"/>
      <c r="H38" s="69">
        <f t="shared" si="2"/>
        <v>0</v>
      </c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pans="1:256" s="20" customFormat="1" ht="49.5">
      <c r="A39" s="19">
        <v>80</v>
      </c>
      <c r="B39" s="65">
        <v>15</v>
      </c>
      <c r="C39" s="66" t="s">
        <v>66</v>
      </c>
      <c r="D39" s="50" t="s">
        <v>67</v>
      </c>
      <c r="E39" s="66" t="s">
        <v>64</v>
      </c>
      <c r="F39" s="68">
        <f>74+52</f>
        <v>126</v>
      </c>
      <c r="G39" s="68"/>
      <c r="H39" s="69">
        <f t="shared" si="2"/>
        <v>0</v>
      </c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pans="1:256" s="20" customFormat="1" ht="49.5">
      <c r="A40" s="19">
        <v>1144</v>
      </c>
      <c r="B40" s="65">
        <v>19</v>
      </c>
      <c r="C40" s="66" t="s">
        <v>68</v>
      </c>
      <c r="D40" s="50" t="s">
        <v>69</v>
      </c>
      <c r="E40" s="66" t="s">
        <v>64</v>
      </c>
      <c r="F40" s="68">
        <f>239+252+162+244</f>
        <v>897</v>
      </c>
      <c r="G40" s="68"/>
      <c r="H40" s="69">
        <f t="shared" si="2"/>
        <v>0</v>
      </c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spans="1:256" s="20" customFormat="1" ht="33">
      <c r="A41" s="19">
        <v>121</v>
      </c>
      <c r="B41" s="65">
        <v>20</v>
      </c>
      <c r="C41" s="66" t="s">
        <v>70</v>
      </c>
      <c r="D41" s="50" t="s">
        <v>71</v>
      </c>
      <c r="E41" s="66" t="s">
        <v>64</v>
      </c>
      <c r="F41" s="68">
        <f>239+252+162+244+204+128.5</f>
        <v>1229.5</v>
      </c>
      <c r="G41" s="68"/>
      <c r="H41" s="69">
        <f t="shared" si="2"/>
        <v>0</v>
      </c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</row>
    <row r="42" spans="1:256" s="20" customFormat="1" ht="66">
      <c r="A42" s="19">
        <v>25</v>
      </c>
      <c r="B42" s="65">
        <v>25</v>
      </c>
      <c r="C42" s="66" t="s">
        <v>72</v>
      </c>
      <c r="D42" s="50" t="s">
        <v>73</v>
      </c>
      <c r="E42" s="66" t="s">
        <v>74</v>
      </c>
      <c r="F42" s="68">
        <v>28</v>
      </c>
      <c r="G42" s="68"/>
      <c r="H42" s="69">
        <f t="shared" si="2"/>
        <v>0</v>
      </c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 s="20" customFormat="1" ht="33">
      <c r="A43" s="19">
        <v>-4</v>
      </c>
      <c r="B43" s="65">
        <v>26</v>
      </c>
      <c r="C43" s="66" t="s">
        <v>75</v>
      </c>
      <c r="D43" s="50" t="s">
        <v>76</v>
      </c>
      <c r="E43" s="66" t="s">
        <v>77</v>
      </c>
      <c r="F43" s="68">
        <v>-28</v>
      </c>
      <c r="G43" s="68"/>
      <c r="H43" s="69">
        <f t="shared" si="2"/>
        <v>0</v>
      </c>
      <c r="J43" s="22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</row>
    <row r="44" spans="1:256" s="20" customFormat="1" ht="66">
      <c r="A44" s="19">
        <v>2</v>
      </c>
      <c r="B44" s="65">
        <v>27</v>
      </c>
      <c r="C44" s="66" t="s">
        <v>78</v>
      </c>
      <c r="D44" s="50" t="s">
        <v>79</v>
      </c>
      <c r="E44" s="66" t="s">
        <v>74</v>
      </c>
      <c r="F44" s="68">
        <v>4</v>
      </c>
      <c r="G44" s="68"/>
      <c r="H44" s="69">
        <f t="shared" si="2"/>
        <v>0</v>
      </c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</row>
    <row r="45" spans="1:256" s="20" customFormat="1" ht="33">
      <c r="A45" s="19">
        <v>1</v>
      </c>
      <c r="B45" s="65">
        <v>29</v>
      </c>
      <c r="C45" s="66" t="s">
        <v>80</v>
      </c>
      <c r="D45" s="50" t="s">
        <v>81</v>
      </c>
      <c r="E45" s="66" t="s">
        <v>77</v>
      </c>
      <c r="F45" s="68">
        <v>-4</v>
      </c>
      <c r="G45" s="68"/>
      <c r="H45" s="69">
        <f t="shared" si="2"/>
        <v>0</v>
      </c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</row>
    <row r="46" spans="1:256" s="20" customFormat="1" ht="33">
      <c r="A46" s="19">
        <v>107.85899999999999</v>
      </c>
      <c r="B46" s="65">
        <v>34</v>
      </c>
      <c r="C46" s="66" t="s">
        <v>82</v>
      </c>
      <c r="D46" s="50" t="s">
        <v>83</v>
      </c>
      <c r="E46" s="66" t="s">
        <v>18</v>
      </c>
      <c r="F46" s="68">
        <f>3.14+3.14</f>
        <v>6.28</v>
      </c>
      <c r="G46" s="68"/>
      <c r="H46" s="69">
        <f t="shared" si="2"/>
        <v>0</v>
      </c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</row>
    <row r="47" spans="1:256" s="20" customFormat="1" ht="33">
      <c r="A47" s="19">
        <v>22</v>
      </c>
      <c r="B47" s="65">
        <v>35</v>
      </c>
      <c r="C47" s="66" t="s">
        <v>84</v>
      </c>
      <c r="D47" s="50" t="s">
        <v>85</v>
      </c>
      <c r="E47" s="66" t="s">
        <v>64</v>
      </c>
      <c r="F47" s="68">
        <v>32</v>
      </c>
      <c r="G47" s="68"/>
      <c r="H47" s="69">
        <f t="shared" si="2"/>
        <v>0</v>
      </c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</row>
    <row r="48" spans="1:256" s="20" customFormat="1" ht="49.5">
      <c r="A48" s="19">
        <v>31</v>
      </c>
      <c r="B48" s="65">
        <v>38</v>
      </c>
      <c r="C48" s="66" t="s">
        <v>86</v>
      </c>
      <c r="D48" s="50" t="s">
        <v>87</v>
      </c>
      <c r="E48" s="66" t="s">
        <v>88</v>
      </c>
      <c r="F48" s="68">
        <v>49</v>
      </c>
      <c r="G48" s="68"/>
      <c r="H48" s="69">
        <f t="shared" si="2"/>
        <v>0</v>
      </c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</row>
    <row r="49" spans="1:256" s="20" customFormat="1" ht="49.5">
      <c r="A49" s="19">
        <v>52</v>
      </c>
      <c r="B49" s="65">
        <v>39</v>
      </c>
      <c r="C49" s="66" t="s">
        <v>86</v>
      </c>
      <c r="D49" s="50" t="s">
        <v>89</v>
      </c>
      <c r="E49" s="66" t="s">
        <v>88</v>
      </c>
      <c r="F49" s="68">
        <v>13</v>
      </c>
      <c r="G49" s="68"/>
      <c r="H49" s="69">
        <f t="shared" si="2"/>
        <v>0</v>
      </c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</row>
    <row r="50" spans="1:256" s="20" customFormat="1" ht="49.5">
      <c r="A50" s="19">
        <v>52</v>
      </c>
      <c r="B50" s="65">
        <v>40</v>
      </c>
      <c r="C50" s="66" t="s">
        <v>90</v>
      </c>
      <c r="D50" s="50" t="s">
        <v>91</v>
      </c>
      <c r="E50" s="66" t="s">
        <v>88</v>
      </c>
      <c r="F50" s="68">
        <v>56</v>
      </c>
      <c r="G50" s="68"/>
      <c r="H50" s="69">
        <f t="shared" si="2"/>
        <v>0</v>
      </c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</row>
    <row r="51" spans="1:256" s="20" customFormat="1" ht="49.5">
      <c r="A51" s="19">
        <v>4</v>
      </c>
      <c r="B51" s="65">
        <v>41</v>
      </c>
      <c r="C51" s="66" t="s">
        <v>90</v>
      </c>
      <c r="D51" s="50" t="s">
        <v>92</v>
      </c>
      <c r="E51" s="66" t="s">
        <v>88</v>
      </c>
      <c r="F51" s="68">
        <v>8</v>
      </c>
      <c r="G51" s="68"/>
      <c r="H51" s="69">
        <f t="shared" si="2"/>
        <v>0</v>
      </c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</row>
    <row r="52" spans="1:256" s="20" customFormat="1" ht="33">
      <c r="A52" s="19"/>
      <c r="B52" s="65">
        <v>46</v>
      </c>
      <c r="C52" s="66" t="s">
        <v>93</v>
      </c>
      <c r="D52" s="50" t="s">
        <v>94</v>
      </c>
      <c r="E52" s="66" t="s">
        <v>95</v>
      </c>
      <c r="F52" s="68">
        <v>13</v>
      </c>
      <c r="G52" s="68"/>
      <c r="H52" s="69">
        <f t="shared" si="2"/>
        <v>0</v>
      </c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</row>
    <row r="53" spans="1:256" ht="33">
      <c r="A53" s="6">
        <v>50</v>
      </c>
      <c r="B53" s="63">
        <v>47</v>
      </c>
      <c r="C53" s="49" t="s">
        <v>96</v>
      </c>
      <c r="D53" s="53" t="s">
        <v>97</v>
      </c>
      <c r="E53" s="49" t="s">
        <v>95</v>
      </c>
      <c r="F53" s="51">
        <v>28</v>
      </c>
      <c r="G53" s="51"/>
      <c r="H53" s="52">
        <f t="shared" si="2"/>
        <v>0</v>
      </c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</row>
    <row r="54" spans="1:256" ht="33">
      <c r="A54" s="6">
        <v>2</v>
      </c>
      <c r="B54" s="63">
        <v>48</v>
      </c>
      <c r="C54" s="49" t="s">
        <v>98</v>
      </c>
      <c r="D54" s="53" t="s">
        <v>99</v>
      </c>
      <c r="E54" s="49" t="s">
        <v>95</v>
      </c>
      <c r="F54" s="51">
        <v>5</v>
      </c>
      <c r="G54" s="51"/>
      <c r="H54" s="52">
        <f t="shared" si="2"/>
        <v>0</v>
      </c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s="12" customFormat="1" ht="10.5" customHeight="1">
      <c r="A55" s="11"/>
      <c r="B55" s="39"/>
      <c r="C55" s="40"/>
      <c r="D55" s="40"/>
      <c r="E55" s="40"/>
      <c r="F55" s="40"/>
      <c r="G55" s="40"/>
      <c r="H55" s="41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s="16" customFormat="1" ht="33">
      <c r="A56" s="6"/>
      <c r="B56" s="63" t="s">
        <v>100</v>
      </c>
      <c r="C56" s="49" t="s">
        <v>101</v>
      </c>
      <c r="D56" s="50" t="s">
        <v>102</v>
      </c>
      <c r="E56" s="66" t="s">
        <v>18</v>
      </c>
      <c r="F56" s="68">
        <f>7.7*48</f>
        <v>369.6</v>
      </c>
      <c r="G56" s="68"/>
      <c r="H56" s="69">
        <f t="shared" ref="H56:H91" si="3">ROUND(G56*F56,2)</f>
        <v>0</v>
      </c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1:256" s="16" customFormat="1" ht="33">
      <c r="A57" s="6"/>
      <c r="B57" s="63" t="s">
        <v>100</v>
      </c>
      <c r="C57" s="49" t="s">
        <v>101</v>
      </c>
      <c r="D57" s="50" t="s">
        <v>103</v>
      </c>
      <c r="E57" s="66" t="s">
        <v>18</v>
      </c>
      <c r="F57" s="68">
        <f>4.1*43</f>
        <v>176.29999999999998</v>
      </c>
      <c r="G57" s="68"/>
      <c r="H57" s="69">
        <f t="shared" si="3"/>
        <v>0</v>
      </c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1:256" s="16" customFormat="1" ht="33">
      <c r="A58" s="6"/>
      <c r="B58" s="71" t="s">
        <v>104</v>
      </c>
      <c r="C58" s="49" t="s">
        <v>101</v>
      </c>
      <c r="D58" s="50" t="s">
        <v>105</v>
      </c>
      <c r="E58" s="66" t="s">
        <v>64</v>
      </c>
      <c r="F58" s="68">
        <v>36</v>
      </c>
      <c r="G58" s="68"/>
      <c r="H58" s="69">
        <f t="shared" si="3"/>
        <v>0</v>
      </c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</row>
    <row r="59" spans="1:256" s="16" customFormat="1" ht="33">
      <c r="A59" s="6"/>
      <c r="B59" s="71" t="s">
        <v>104</v>
      </c>
      <c r="C59" s="49" t="s">
        <v>101</v>
      </c>
      <c r="D59" s="50" t="s">
        <v>105</v>
      </c>
      <c r="E59" s="66" t="s">
        <v>64</v>
      </c>
      <c r="F59" s="68">
        <v>31.8</v>
      </c>
      <c r="G59" s="68"/>
      <c r="H59" s="69">
        <f t="shared" si="3"/>
        <v>0</v>
      </c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</row>
    <row r="60" spans="1:256" s="16" customFormat="1" ht="33">
      <c r="A60" s="6"/>
      <c r="B60" s="71" t="s">
        <v>106</v>
      </c>
      <c r="C60" s="49" t="s">
        <v>101</v>
      </c>
      <c r="D60" s="50" t="s">
        <v>107</v>
      </c>
      <c r="E60" s="66" t="s">
        <v>64</v>
      </c>
      <c r="F60" s="68">
        <v>36</v>
      </c>
      <c r="G60" s="68"/>
      <c r="H60" s="69">
        <f t="shared" si="3"/>
        <v>0</v>
      </c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s="16" customFormat="1" ht="33">
      <c r="A61" s="6"/>
      <c r="B61" s="71" t="s">
        <v>106</v>
      </c>
      <c r="C61" s="49" t="s">
        <v>101</v>
      </c>
      <c r="D61" s="50" t="s">
        <v>108</v>
      </c>
      <c r="E61" s="66" t="s">
        <v>64</v>
      </c>
      <c r="F61" s="68">
        <v>31.8</v>
      </c>
      <c r="G61" s="68"/>
      <c r="H61" s="69">
        <f t="shared" si="3"/>
        <v>0</v>
      </c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</row>
    <row r="62" spans="1:256" s="16" customFormat="1" ht="33">
      <c r="A62" s="6"/>
      <c r="B62" s="71" t="s">
        <v>109</v>
      </c>
      <c r="C62" s="49" t="s">
        <v>101</v>
      </c>
      <c r="D62" s="50" t="s">
        <v>110</v>
      </c>
      <c r="E62" s="66" t="s">
        <v>64</v>
      </c>
      <c r="F62" s="68">
        <f>2*(7.7*48)</f>
        <v>739.2</v>
      </c>
      <c r="G62" s="68"/>
      <c r="H62" s="69">
        <f t="shared" si="3"/>
        <v>0</v>
      </c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</row>
    <row r="63" spans="1:256" s="16" customFormat="1" ht="33">
      <c r="A63" s="6"/>
      <c r="B63" s="71" t="s">
        <v>109</v>
      </c>
      <c r="C63" s="49" t="s">
        <v>101</v>
      </c>
      <c r="D63" s="50" t="s">
        <v>111</v>
      </c>
      <c r="E63" s="66" t="s">
        <v>18</v>
      </c>
      <c r="F63" s="68">
        <f>2*4.1*45</f>
        <v>368.99999999999994</v>
      </c>
      <c r="G63" s="68"/>
      <c r="H63" s="69">
        <f t="shared" si="3"/>
        <v>0</v>
      </c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</row>
    <row r="64" spans="1:256" ht="33">
      <c r="A64" s="6">
        <v>5725</v>
      </c>
      <c r="B64" s="72">
        <v>54</v>
      </c>
      <c r="C64" s="49" t="s">
        <v>112</v>
      </c>
      <c r="D64" s="50" t="s">
        <v>113</v>
      </c>
      <c r="E64" s="66" t="s">
        <v>20</v>
      </c>
      <c r="F64" s="68">
        <f>34*26.5</f>
        <v>901</v>
      </c>
      <c r="G64" s="68"/>
      <c r="H64" s="69">
        <f t="shared" si="3"/>
        <v>0</v>
      </c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1:256" ht="33">
      <c r="A65" s="6"/>
      <c r="B65" s="72"/>
      <c r="C65" s="49" t="s">
        <v>112</v>
      </c>
      <c r="D65" s="50" t="s">
        <v>114</v>
      </c>
      <c r="E65" s="66" t="s">
        <v>20</v>
      </c>
      <c r="F65" s="68">
        <f>25.15*14.3</f>
        <v>359.64499999999998</v>
      </c>
      <c r="G65" s="68"/>
      <c r="H65" s="69">
        <f t="shared" si="3"/>
        <v>0</v>
      </c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</row>
    <row r="66" spans="1:256" ht="33">
      <c r="A66" s="6">
        <v>2510</v>
      </c>
      <c r="B66" s="72">
        <v>55</v>
      </c>
      <c r="C66" s="49" t="s">
        <v>115</v>
      </c>
      <c r="D66" s="50" t="s">
        <v>116</v>
      </c>
      <c r="E66" s="66" t="s">
        <v>18</v>
      </c>
      <c r="F66" s="68">
        <f>48*4.5+193</f>
        <v>409</v>
      </c>
      <c r="G66" s="68"/>
      <c r="H66" s="69">
        <f t="shared" si="3"/>
        <v>0</v>
      </c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</row>
    <row r="67" spans="1:256" ht="33">
      <c r="A67" s="6"/>
      <c r="B67" s="72"/>
      <c r="C67" s="49" t="s">
        <v>115</v>
      </c>
      <c r="D67" s="50" t="s">
        <v>117</v>
      </c>
      <c r="E67" s="66" t="s">
        <v>18</v>
      </c>
      <c r="F67" s="68">
        <f>217+45.3*4</f>
        <v>398.2</v>
      </c>
      <c r="G67" s="68"/>
      <c r="H67" s="69">
        <f t="shared" si="3"/>
        <v>0</v>
      </c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</row>
    <row r="68" spans="1:256" ht="49.5">
      <c r="A68" s="6">
        <v>5725</v>
      </c>
      <c r="B68" s="72">
        <v>56</v>
      </c>
      <c r="C68" s="49" t="s">
        <v>57</v>
      </c>
      <c r="D68" s="50" t="s">
        <v>118</v>
      </c>
      <c r="E68" s="66" t="s">
        <v>20</v>
      </c>
      <c r="F68" s="68">
        <f>F64</f>
        <v>901</v>
      </c>
      <c r="G68" s="68"/>
      <c r="H68" s="69">
        <f t="shared" si="3"/>
        <v>0</v>
      </c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</row>
    <row r="69" spans="1:256" ht="49.5">
      <c r="A69" s="6"/>
      <c r="B69" s="72"/>
      <c r="C69" s="49" t="s">
        <v>57</v>
      </c>
      <c r="D69" s="50" t="s">
        <v>119</v>
      </c>
      <c r="E69" s="66" t="s">
        <v>20</v>
      </c>
      <c r="F69" s="68">
        <f>F65</f>
        <v>359.64499999999998</v>
      </c>
      <c r="G69" s="68"/>
      <c r="H69" s="69">
        <f t="shared" si="3"/>
        <v>0</v>
      </c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</row>
    <row r="70" spans="1:256" ht="49.5">
      <c r="A70" s="6">
        <v>5725</v>
      </c>
      <c r="B70" s="72">
        <v>57</v>
      </c>
      <c r="C70" s="49" t="s">
        <v>59</v>
      </c>
      <c r="D70" s="50" t="s">
        <v>120</v>
      </c>
      <c r="E70" s="66" t="s">
        <v>20</v>
      </c>
      <c r="F70" s="68">
        <f>F64</f>
        <v>901</v>
      </c>
      <c r="G70" s="68"/>
      <c r="H70" s="69">
        <f t="shared" si="3"/>
        <v>0</v>
      </c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</row>
    <row r="71" spans="1:256" ht="49.5">
      <c r="A71" s="6"/>
      <c r="B71" s="72"/>
      <c r="C71" s="49" t="s">
        <v>59</v>
      </c>
      <c r="D71" s="50" t="s">
        <v>121</v>
      </c>
      <c r="E71" s="66" t="s">
        <v>20</v>
      </c>
      <c r="F71" s="68">
        <f>F65</f>
        <v>359.64499999999998</v>
      </c>
      <c r="G71" s="68"/>
      <c r="H71" s="69">
        <f t="shared" si="3"/>
        <v>0</v>
      </c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</row>
    <row r="72" spans="1:256" ht="33">
      <c r="A72" s="6">
        <v>5020</v>
      </c>
      <c r="B72" s="72">
        <v>58</v>
      </c>
      <c r="C72" s="49" t="s">
        <v>122</v>
      </c>
      <c r="D72" s="50" t="s">
        <v>123</v>
      </c>
      <c r="E72" s="66" t="s">
        <v>18</v>
      </c>
      <c r="F72" s="68">
        <f>(190+48*4.5)+(190+48*4.5)*0.2</f>
        <v>487.2</v>
      </c>
      <c r="G72" s="68"/>
      <c r="H72" s="69">
        <f t="shared" si="3"/>
        <v>0</v>
      </c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</row>
    <row r="73" spans="1:256" ht="33">
      <c r="A73" s="6"/>
      <c r="B73" s="72"/>
      <c r="C73" s="49" t="s">
        <v>122</v>
      </c>
      <c r="D73" s="50" t="s">
        <v>124</v>
      </c>
      <c r="E73" s="66" t="s">
        <v>18</v>
      </c>
      <c r="F73" s="68">
        <f>(217+4.1*45)+(217+4.1*45)*0.2</f>
        <v>481.8</v>
      </c>
      <c r="G73" s="68"/>
      <c r="H73" s="69">
        <f t="shared" si="3"/>
        <v>0</v>
      </c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</row>
    <row r="74" spans="1:256" ht="33">
      <c r="A74" s="6">
        <v>2510</v>
      </c>
      <c r="B74" s="72">
        <v>59</v>
      </c>
      <c r="C74" s="49" t="s">
        <v>122</v>
      </c>
      <c r="D74" s="50" t="s">
        <v>125</v>
      </c>
      <c r="E74" s="66" t="s">
        <v>18</v>
      </c>
      <c r="F74" s="68">
        <f>(190+48*4.5)+(190+48*4.5)*0.2</f>
        <v>487.2</v>
      </c>
      <c r="G74" s="68"/>
      <c r="H74" s="69">
        <f t="shared" si="3"/>
        <v>0</v>
      </c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</row>
    <row r="75" spans="1:256" ht="33">
      <c r="A75" s="6"/>
      <c r="B75" s="72"/>
      <c r="C75" s="49" t="s">
        <v>122</v>
      </c>
      <c r="D75" s="50" t="s">
        <v>126</v>
      </c>
      <c r="E75" s="66" t="s">
        <v>18</v>
      </c>
      <c r="F75" s="68">
        <f>F73</f>
        <v>481.8</v>
      </c>
      <c r="G75" s="68"/>
      <c r="H75" s="69">
        <f t="shared" si="3"/>
        <v>0</v>
      </c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</row>
    <row r="76" spans="1:256" ht="33">
      <c r="A76" s="6">
        <v>435</v>
      </c>
      <c r="B76" s="72">
        <v>60</v>
      </c>
      <c r="C76" s="49" t="s">
        <v>127</v>
      </c>
      <c r="D76" s="50" t="s">
        <v>128</v>
      </c>
      <c r="E76" s="66" t="s">
        <v>20</v>
      </c>
      <c r="F76" s="68">
        <f>190*0.15+48*4.5*0.2</f>
        <v>71.7</v>
      </c>
      <c r="G76" s="68"/>
      <c r="H76" s="69">
        <f t="shared" si="3"/>
        <v>0</v>
      </c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</row>
    <row r="77" spans="1:256" ht="33">
      <c r="A77" s="6"/>
      <c r="B77" s="72"/>
      <c r="C77" s="49" t="s">
        <v>127</v>
      </c>
      <c r="D77" s="50" t="s">
        <v>129</v>
      </c>
      <c r="E77" s="66" t="s">
        <v>20</v>
      </c>
      <c r="F77" s="68">
        <f>217*0.15+45*4.1*0.2</f>
        <v>69.449999999999989</v>
      </c>
      <c r="G77" s="68"/>
      <c r="H77" s="69">
        <f t="shared" si="3"/>
        <v>0</v>
      </c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</row>
    <row r="78" spans="1:256" ht="33">
      <c r="A78" s="6">
        <v>173</v>
      </c>
      <c r="B78" s="72">
        <v>61</v>
      </c>
      <c r="C78" s="49" t="s">
        <v>127</v>
      </c>
      <c r="D78" s="50" t="s">
        <v>130</v>
      </c>
      <c r="E78" s="66" t="s">
        <v>20</v>
      </c>
      <c r="F78" s="68">
        <f>190*0.15</f>
        <v>28.5</v>
      </c>
      <c r="G78" s="68"/>
      <c r="H78" s="69">
        <f t="shared" si="3"/>
        <v>0</v>
      </c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</row>
    <row r="79" spans="1:256" ht="33">
      <c r="A79" s="6"/>
      <c r="B79" s="72"/>
      <c r="C79" s="49" t="s">
        <v>127</v>
      </c>
      <c r="D79" s="50" t="s">
        <v>131</v>
      </c>
      <c r="E79" s="66" t="s">
        <v>20</v>
      </c>
      <c r="F79" s="68">
        <f>217*0.15</f>
        <v>32.549999999999997</v>
      </c>
      <c r="G79" s="68"/>
      <c r="H79" s="69">
        <f t="shared" si="3"/>
        <v>0</v>
      </c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</row>
    <row r="80" spans="1:256" ht="33">
      <c r="A80" s="6">
        <v>1310</v>
      </c>
      <c r="B80" s="72">
        <v>62</v>
      </c>
      <c r="C80" s="49" t="s">
        <v>132</v>
      </c>
      <c r="D80" s="50" t="s">
        <v>133</v>
      </c>
      <c r="E80" s="66" t="s">
        <v>18</v>
      </c>
      <c r="F80" s="68">
        <f>7.7*48</f>
        <v>369.6</v>
      </c>
      <c r="G80" s="68"/>
      <c r="H80" s="69">
        <f t="shared" si="3"/>
        <v>0</v>
      </c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</row>
    <row r="81" spans="1:256" ht="33">
      <c r="A81" s="6"/>
      <c r="B81" s="72"/>
      <c r="C81" s="49" t="s">
        <v>132</v>
      </c>
      <c r="D81" s="50" t="s">
        <v>134</v>
      </c>
      <c r="E81" s="66" t="s">
        <v>18</v>
      </c>
      <c r="F81" s="68">
        <f>45*4.1</f>
        <v>184.49999999999997</v>
      </c>
      <c r="G81" s="68"/>
      <c r="H81" s="69">
        <f t="shared" si="3"/>
        <v>0</v>
      </c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</row>
    <row r="82" spans="1:256" ht="33">
      <c r="A82" s="6">
        <v>272</v>
      </c>
      <c r="B82" s="72">
        <v>63</v>
      </c>
      <c r="C82" s="49" t="s">
        <v>127</v>
      </c>
      <c r="D82" s="50" t="s">
        <v>135</v>
      </c>
      <c r="E82" s="66" t="s">
        <v>20</v>
      </c>
      <c r="F82" s="68">
        <f>2*48*0.1</f>
        <v>9.6000000000000014</v>
      </c>
      <c r="G82" s="68"/>
      <c r="H82" s="69">
        <f t="shared" si="3"/>
        <v>0</v>
      </c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</row>
    <row r="83" spans="1:256" ht="33">
      <c r="A83" s="6"/>
      <c r="B83" s="72"/>
      <c r="C83" s="49" t="s">
        <v>127</v>
      </c>
      <c r="D83" s="50" t="s">
        <v>136</v>
      </c>
      <c r="E83" s="66" t="s">
        <v>20</v>
      </c>
      <c r="F83" s="68">
        <f>1.8*45*0.1</f>
        <v>8.1</v>
      </c>
      <c r="G83" s="68"/>
      <c r="H83" s="69">
        <f t="shared" si="3"/>
        <v>0</v>
      </c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</row>
    <row r="84" spans="1:256" ht="49.5">
      <c r="A84" s="6">
        <v>1038</v>
      </c>
      <c r="B84" s="72">
        <v>64</v>
      </c>
      <c r="C84" s="49" t="s">
        <v>137</v>
      </c>
      <c r="D84" s="50" t="s">
        <v>138</v>
      </c>
      <c r="E84" s="66" t="s">
        <v>18</v>
      </c>
      <c r="F84" s="68">
        <f>5.5*48</f>
        <v>264</v>
      </c>
      <c r="G84" s="68"/>
      <c r="H84" s="69">
        <f t="shared" si="3"/>
        <v>0</v>
      </c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</row>
    <row r="85" spans="1:256" ht="49.5">
      <c r="A85" s="6"/>
      <c r="B85" s="72"/>
      <c r="C85" s="49" t="s">
        <v>137</v>
      </c>
      <c r="D85" s="50" t="s">
        <v>139</v>
      </c>
      <c r="E85" s="66" t="s">
        <v>18</v>
      </c>
      <c r="F85" s="68">
        <f>(4.1-1.8)*45</f>
        <v>103.49999999999999</v>
      </c>
      <c r="G85" s="68"/>
      <c r="H85" s="69">
        <f t="shared" si="3"/>
        <v>0</v>
      </c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</row>
    <row r="86" spans="1:256" ht="33">
      <c r="A86" s="6">
        <v>295</v>
      </c>
      <c r="B86" s="72">
        <v>68</v>
      </c>
      <c r="C86" s="49" t="s">
        <v>140</v>
      </c>
      <c r="D86" s="50" t="s">
        <v>141</v>
      </c>
      <c r="E86" s="66" t="s">
        <v>64</v>
      </c>
      <c r="F86" s="68">
        <v>55</v>
      </c>
      <c r="G86" s="68"/>
      <c r="H86" s="69">
        <f t="shared" si="3"/>
        <v>0</v>
      </c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</row>
    <row r="87" spans="1:256" ht="33">
      <c r="A87" s="6"/>
      <c r="B87" s="72"/>
      <c r="C87" s="49" t="s">
        <v>140</v>
      </c>
      <c r="D87" s="50" t="s">
        <v>142</v>
      </c>
      <c r="E87" s="66" t="s">
        <v>64</v>
      </c>
      <c r="F87" s="68">
        <v>52</v>
      </c>
      <c r="G87" s="68"/>
      <c r="H87" s="69">
        <f t="shared" si="3"/>
        <v>0</v>
      </c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</row>
    <row r="88" spans="1:256" ht="33">
      <c r="A88" s="6">
        <v>295</v>
      </c>
      <c r="B88" s="72">
        <v>69</v>
      </c>
      <c r="C88" s="49" t="s">
        <v>143</v>
      </c>
      <c r="D88" s="50" t="s">
        <v>144</v>
      </c>
      <c r="E88" s="66" t="s">
        <v>64</v>
      </c>
      <c r="F88" s="68">
        <v>55</v>
      </c>
      <c r="G88" s="68"/>
      <c r="H88" s="69">
        <f t="shared" si="3"/>
        <v>0</v>
      </c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</row>
    <row r="89" spans="1:256" ht="33">
      <c r="A89" s="6"/>
      <c r="B89" s="72"/>
      <c r="C89" s="49" t="s">
        <v>143</v>
      </c>
      <c r="D89" s="50" t="s">
        <v>145</v>
      </c>
      <c r="E89" s="66" t="s">
        <v>64</v>
      </c>
      <c r="F89" s="68">
        <v>52</v>
      </c>
      <c r="G89" s="68"/>
      <c r="H89" s="69">
        <f t="shared" si="3"/>
        <v>0</v>
      </c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</row>
    <row r="90" spans="1:256" ht="33.75" thickBot="1">
      <c r="A90" s="6">
        <v>2590</v>
      </c>
      <c r="B90" s="73">
        <v>71</v>
      </c>
      <c r="C90" s="49" t="s">
        <v>146</v>
      </c>
      <c r="D90" s="50" t="s">
        <v>147</v>
      </c>
      <c r="E90" s="66" t="s">
        <v>18</v>
      </c>
      <c r="F90" s="68">
        <f>9*36</f>
        <v>324</v>
      </c>
      <c r="G90" s="68"/>
      <c r="H90" s="69">
        <f t="shared" si="3"/>
        <v>0</v>
      </c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</row>
    <row r="91" spans="1:256" ht="33.75" thickBot="1">
      <c r="A91" s="6"/>
      <c r="B91" s="73"/>
      <c r="C91" s="74" t="s">
        <v>146</v>
      </c>
      <c r="D91" s="75" t="s">
        <v>148</v>
      </c>
      <c r="E91" s="76" t="s">
        <v>18</v>
      </c>
      <c r="F91" s="77">
        <v>295</v>
      </c>
      <c r="G91" s="77"/>
      <c r="H91" s="78">
        <f t="shared" si="3"/>
        <v>0</v>
      </c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</row>
    <row r="92" spans="1:256" s="12" customFormat="1" ht="15" customHeight="1">
      <c r="A92" s="23"/>
      <c r="B92" s="79"/>
      <c r="C92" s="37" t="s">
        <v>149</v>
      </c>
      <c r="D92" s="37"/>
      <c r="E92" s="37"/>
      <c r="F92" s="37"/>
      <c r="G92" s="37"/>
      <c r="H92" s="38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</row>
    <row r="93" spans="1:256" s="12" customFormat="1" ht="10.5" customHeight="1">
      <c r="A93" s="11"/>
      <c r="B93" s="39"/>
      <c r="C93" s="40" t="s">
        <v>150</v>
      </c>
      <c r="D93" s="40"/>
      <c r="E93" s="40"/>
      <c r="F93" s="40"/>
      <c r="G93" s="40"/>
      <c r="H93" s="41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</row>
    <row r="94" spans="1:256" s="16" customFormat="1" ht="198">
      <c r="A94" s="6"/>
      <c r="B94" s="63">
        <v>1</v>
      </c>
      <c r="C94" s="49" t="s">
        <v>101</v>
      </c>
      <c r="D94" s="50" t="s">
        <v>195</v>
      </c>
      <c r="E94" s="66" t="s">
        <v>151</v>
      </c>
      <c r="F94" s="68">
        <v>65</v>
      </c>
      <c r="G94" s="68"/>
      <c r="H94" s="69">
        <f t="shared" ref="H94:H102" si="4">ROUND(G94*F94,2)</f>
        <v>0</v>
      </c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</row>
    <row r="95" spans="1:256" ht="33">
      <c r="A95" s="6">
        <v>21</v>
      </c>
      <c r="B95" s="42" t="s">
        <v>152</v>
      </c>
      <c r="C95" s="43" t="s">
        <v>153</v>
      </c>
      <c r="D95" s="80" t="s">
        <v>154</v>
      </c>
      <c r="E95" s="81" t="s">
        <v>151</v>
      </c>
      <c r="F95" s="82">
        <v>65</v>
      </c>
      <c r="G95" s="82"/>
      <c r="H95" s="83">
        <f t="shared" si="4"/>
        <v>0</v>
      </c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</row>
    <row r="96" spans="1:256" ht="33">
      <c r="A96" s="6">
        <v>89</v>
      </c>
      <c r="B96" s="42" t="s">
        <v>155</v>
      </c>
      <c r="C96" s="43" t="s">
        <v>153</v>
      </c>
      <c r="D96" s="80" t="s">
        <v>156</v>
      </c>
      <c r="E96" s="81" t="s">
        <v>157</v>
      </c>
      <c r="F96" s="82">
        <v>65</v>
      </c>
      <c r="G96" s="82"/>
      <c r="H96" s="83">
        <f t="shared" si="4"/>
        <v>0</v>
      </c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</row>
    <row r="97" spans="1:256" ht="33">
      <c r="A97" s="6">
        <v>11200</v>
      </c>
      <c r="B97" s="42" t="s">
        <v>158</v>
      </c>
      <c r="C97" s="43" t="s">
        <v>153</v>
      </c>
      <c r="D97" s="84" t="s">
        <v>159</v>
      </c>
      <c r="E97" s="81" t="s">
        <v>64</v>
      </c>
      <c r="F97" s="82">
        <f>1035*2+4*F106</f>
        <v>2162</v>
      </c>
      <c r="G97" s="82"/>
      <c r="H97" s="83">
        <f t="shared" si="4"/>
        <v>0</v>
      </c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</row>
    <row r="98" spans="1:256" ht="33">
      <c r="A98" s="6">
        <v>445</v>
      </c>
      <c r="B98" s="42" t="s">
        <v>160</v>
      </c>
      <c r="C98" s="43" t="s">
        <v>153</v>
      </c>
      <c r="D98" s="84" t="s">
        <v>161</v>
      </c>
      <c r="E98" s="81" t="s">
        <v>64</v>
      </c>
      <c r="F98" s="82">
        <f>39+10+24+33+24+21+21+3*21+2*24+21*3+24+6+39+17+44+18+22+21+27+12+2*14+5+4*21+13+21+24+42+24+30+16+50</f>
        <v>913</v>
      </c>
      <c r="G98" s="82"/>
      <c r="H98" s="83">
        <f t="shared" si="4"/>
        <v>0</v>
      </c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</row>
    <row r="99" spans="1:256" ht="33">
      <c r="A99" s="6">
        <v>89</v>
      </c>
      <c r="B99" s="42" t="s">
        <v>162</v>
      </c>
      <c r="C99" s="43" t="s">
        <v>153</v>
      </c>
      <c r="D99" s="80" t="s">
        <v>163</v>
      </c>
      <c r="E99" s="81" t="s">
        <v>157</v>
      </c>
      <c r="F99" s="82">
        <f>SUM(F95:F95)</f>
        <v>65</v>
      </c>
      <c r="G99" s="82"/>
      <c r="H99" s="83">
        <f t="shared" si="4"/>
        <v>0</v>
      </c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</row>
    <row r="100" spans="1:256" ht="33">
      <c r="A100" s="6">
        <v>89</v>
      </c>
      <c r="B100" s="42" t="s">
        <v>164</v>
      </c>
      <c r="C100" s="43" t="s">
        <v>153</v>
      </c>
      <c r="D100" s="80" t="s">
        <v>165</v>
      </c>
      <c r="E100" s="81" t="s">
        <v>157</v>
      </c>
      <c r="F100" s="82">
        <f>SUM(F95:F95)</f>
        <v>65</v>
      </c>
      <c r="G100" s="82"/>
      <c r="H100" s="83">
        <f t="shared" si="4"/>
        <v>0</v>
      </c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</row>
    <row r="101" spans="1:256" ht="33">
      <c r="A101" s="6">
        <v>200</v>
      </c>
      <c r="B101" s="42" t="s">
        <v>166</v>
      </c>
      <c r="C101" s="43" t="s">
        <v>153</v>
      </c>
      <c r="D101" s="84" t="s">
        <v>167</v>
      </c>
      <c r="E101" s="81" t="s">
        <v>168</v>
      </c>
      <c r="F101" s="82">
        <v>160</v>
      </c>
      <c r="G101" s="82"/>
      <c r="H101" s="83">
        <f t="shared" si="4"/>
        <v>0</v>
      </c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</row>
    <row r="102" spans="1:256" ht="33">
      <c r="A102" s="6">
        <v>5</v>
      </c>
      <c r="B102" s="42" t="s">
        <v>169</v>
      </c>
      <c r="C102" s="43" t="s">
        <v>153</v>
      </c>
      <c r="D102" s="80" t="s">
        <v>194</v>
      </c>
      <c r="E102" s="81" t="s">
        <v>157</v>
      </c>
      <c r="F102" s="82">
        <v>1</v>
      </c>
      <c r="G102" s="82"/>
      <c r="H102" s="83">
        <f t="shared" si="4"/>
        <v>0</v>
      </c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</row>
    <row r="103" spans="1:256" s="12" customFormat="1" ht="10.5" customHeight="1">
      <c r="A103" s="11"/>
      <c r="B103" s="39"/>
      <c r="C103" s="40" t="s">
        <v>170</v>
      </c>
      <c r="D103" s="40"/>
      <c r="E103" s="40"/>
      <c r="F103" s="40"/>
      <c r="G103" s="40"/>
      <c r="H103" s="41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</row>
    <row r="104" spans="1:256" ht="33">
      <c r="A104" s="6">
        <v>1</v>
      </c>
      <c r="B104" s="42" t="s">
        <v>171</v>
      </c>
      <c r="C104" s="43" t="s">
        <v>153</v>
      </c>
      <c r="D104" s="80" t="s">
        <v>172</v>
      </c>
      <c r="E104" s="81" t="s">
        <v>168</v>
      </c>
      <c r="F104" s="82">
        <v>1</v>
      </c>
      <c r="G104" s="82"/>
      <c r="H104" s="83">
        <f t="shared" ref="H104:H110" si="5">ROUND(G104*F104,2)</f>
        <v>0</v>
      </c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</row>
    <row r="105" spans="1:256" ht="33">
      <c r="A105" s="6">
        <v>147</v>
      </c>
      <c r="B105" s="42" t="s">
        <v>173</v>
      </c>
      <c r="C105" s="43" t="s">
        <v>153</v>
      </c>
      <c r="D105" s="80" t="s">
        <v>174</v>
      </c>
      <c r="E105" s="81" t="s">
        <v>64</v>
      </c>
      <c r="F105" s="82">
        <f>2*F106</f>
        <v>46</v>
      </c>
      <c r="G105" s="82"/>
      <c r="H105" s="83">
        <f t="shared" si="5"/>
        <v>0</v>
      </c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</row>
    <row r="106" spans="1:256" ht="33">
      <c r="A106" s="6">
        <v>49</v>
      </c>
      <c r="B106" s="42" t="s">
        <v>175</v>
      </c>
      <c r="C106" s="81" t="s">
        <v>153</v>
      </c>
      <c r="D106" s="80" t="s">
        <v>176</v>
      </c>
      <c r="E106" s="81" t="s">
        <v>168</v>
      </c>
      <c r="F106" s="82">
        <v>23</v>
      </c>
      <c r="G106" s="82"/>
      <c r="H106" s="83">
        <f t="shared" si="5"/>
        <v>0</v>
      </c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</row>
    <row r="107" spans="1:256" ht="33">
      <c r="A107" s="6">
        <v>2900</v>
      </c>
      <c r="B107" s="42" t="s">
        <v>177</v>
      </c>
      <c r="C107" s="81" t="s">
        <v>153</v>
      </c>
      <c r="D107" s="80" t="s">
        <v>178</v>
      </c>
      <c r="E107" s="81" t="s">
        <v>64</v>
      </c>
      <c r="F107" s="82">
        <f>F108+F98</f>
        <v>3982.6000000000004</v>
      </c>
      <c r="G107" s="82"/>
      <c r="H107" s="83">
        <f t="shared" si="5"/>
        <v>0</v>
      </c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</row>
    <row r="108" spans="1:256" ht="33">
      <c r="A108" s="6">
        <v>2900</v>
      </c>
      <c r="B108" s="42" t="s">
        <v>179</v>
      </c>
      <c r="C108" s="81" t="s">
        <v>153</v>
      </c>
      <c r="D108" s="80" t="s">
        <v>180</v>
      </c>
      <c r="E108" s="81" t="s">
        <v>64</v>
      </c>
      <c r="F108" s="82">
        <f>3*(28.5+15.5+58+58+58+15.5+58.5+18.5+58+58+51+31+62.7+51+58+58+21+58+58+58+30+30+30)</f>
        <v>3069.6000000000004</v>
      </c>
      <c r="G108" s="82"/>
      <c r="H108" s="83">
        <f t="shared" si="5"/>
        <v>0</v>
      </c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</row>
    <row r="109" spans="1:256" ht="33">
      <c r="A109" s="6">
        <v>2900</v>
      </c>
      <c r="B109" s="42" t="s">
        <v>181</v>
      </c>
      <c r="C109" s="81" t="s">
        <v>153</v>
      </c>
      <c r="D109" s="80" t="s">
        <v>182</v>
      </c>
      <c r="E109" s="81" t="s">
        <v>20</v>
      </c>
      <c r="F109" s="82">
        <f>F107*0.4*0.8</f>
        <v>1274.4320000000002</v>
      </c>
      <c r="G109" s="82"/>
      <c r="H109" s="83">
        <f t="shared" si="5"/>
        <v>0</v>
      </c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</row>
    <row r="110" spans="1:256" ht="33.75" thickBot="1">
      <c r="A110" s="6">
        <v>2900</v>
      </c>
      <c r="B110" s="85" t="s">
        <v>183</v>
      </c>
      <c r="C110" s="86" t="s">
        <v>153</v>
      </c>
      <c r="D110" s="87" t="s">
        <v>184</v>
      </c>
      <c r="E110" s="86" t="s">
        <v>64</v>
      </c>
      <c r="F110" s="88">
        <f>1035+60+F98</f>
        <v>2008</v>
      </c>
      <c r="G110" s="88"/>
      <c r="H110" s="89">
        <f t="shared" si="5"/>
        <v>0</v>
      </c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</row>
    <row r="111" spans="1:256" ht="33">
      <c r="A111" s="6"/>
      <c r="B111" s="90"/>
      <c r="C111" s="91"/>
      <c r="D111" s="90"/>
      <c r="F111" s="90"/>
      <c r="G111" s="92" t="s">
        <v>185</v>
      </c>
      <c r="H111" s="93">
        <f>SUM(H7:H110)</f>
        <v>0</v>
      </c>
    </row>
    <row r="112" spans="1:256" ht="33">
      <c r="A112" s="6"/>
      <c r="B112" s="90"/>
      <c r="C112" s="91"/>
      <c r="D112" s="90"/>
      <c r="F112" s="90"/>
      <c r="G112" s="94" t="s">
        <v>186</v>
      </c>
      <c r="H112" s="95">
        <f>H111*0.23</f>
        <v>0</v>
      </c>
    </row>
    <row r="113" spans="1:8" ht="50.25" thickBot="1">
      <c r="A113" s="6"/>
      <c r="B113" s="90"/>
      <c r="C113" s="91"/>
      <c r="D113" s="91"/>
      <c r="F113" s="90"/>
      <c r="G113" s="96" t="s">
        <v>187</v>
      </c>
      <c r="H113" s="97">
        <f>H111*1.23</f>
        <v>0</v>
      </c>
    </row>
    <row r="114" spans="1:8">
      <c r="H114" s="5" t="s">
        <v>198</v>
      </c>
    </row>
  </sheetData>
  <sheetProtection selectLockedCells="1" selectUnlockedCells="1"/>
  <mergeCells count="29">
    <mergeCell ref="B88:B89"/>
    <mergeCell ref="B90:B91"/>
    <mergeCell ref="C92:H92"/>
    <mergeCell ref="C93:H93"/>
    <mergeCell ref="C103:H103"/>
    <mergeCell ref="C36:H36"/>
    <mergeCell ref="C55:H55"/>
    <mergeCell ref="B86:B87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C13:H13"/>
    <mergeCell ref="C23:H23"/>
    <mergeCell ref="C25:H25"/>
    <mergeCell ref="C27:H27"/>
    <mergeCell ref="C28:H28"/>
    <mergeCell ref="B1:H1"/>
    <mergeCell ref="B2:H2"/>
    <mergeCell ref="C5:H5"/>
    <mergeCell ref="C6:H6"/>
    <mergeCell ref="C8:H8"/>
  </mergeCells>
  <pageMargins left="0.25" right="0.25" top="0.75" bottom="0.75" header="0.3" footer="0.3"/>
  <pageSetup paperSize="9" firstPageNumber="0" fitToHeight="0" orientation="portrait" r:id="rId1"/>
  <headerFooter alignWithMargins="0"/>
  <rowBreaks count="1" manualBreakCount="1">
    <brk id="118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 II ETAP_ofertowy</vt:lpstr>
      <vt:lpstr>Arkusz1</vt:lpstr>
      <vt:lpstr>'KO II ETAP_ofertowy'!Obszar_wydruku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i Justynka</dc:creator>
  <cp:lastModifiedBy>mnowicka</cp:lastModifiedBy>
  <cp:revision>12</cp:revision>
  <cp:lastPrinted>2020-12-31T07:46:42Z</cp:lastPrinted>
  <dcterms:created xsi:type="dcterms:W3CDTF">2018-02-08T12:00:20Z</dcterms:created>
  <dcterms:modified xsi:type="dcterms:W3CDTF">2020-12-31T07:47:13Z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